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2-2023" sheetId="1" r:id="rId1"/>
  </sheets>
  <definedNames>
    <definedName name="_xlnm._FilterDatabase" localSheetId="0" hidden="1">'2022-2023'!$A$6:$IS$145</definedName>
    <definedName name="_xlnm.Print_Area" localSheetId="0">'2022-2023'!$A$1:$L$146</definedName>
  </definedNames>
  <calcPr fullCalcOnLoad="1"/>
</workbook>
</file>

<file path=xl/sharedStrings.xml><?xml version="1.0" encoding="utf-8"?>
<sst xmlns="http://schemas.openxmlformats.org/spreadsheetml/2006/main" count="811" uniqueCount="239">
  <si>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</si>
  <si>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</si>
  <si>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</si>
  <si>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</si>
  <si>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</si>
  <si>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</si>
  <si>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</si>
  <si>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</si>
  <si>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</si>
  <si>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</si>
  <si>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</si>
  <si>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</si>
  <si>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</si>
  <si>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</si>
  <si>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</si>
  <si>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</si>
  <si>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</si>
  <si>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</si>
  <si>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</si>
  <si>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</si>
  <si>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</si>
  <si>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</si>
  <si>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</si>
  <si>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</si>
  <si>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</si>
  <si>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</si>
  <si>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</si>
  <si>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</si>
  <si>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</si>
  <si>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</si>
  <si>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</si>
  <si>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</si>
  <si>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</si>
  <si>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</si>
  <si>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</si>
  <si>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</si>
  <si>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</si>
  <si>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</si>
  <si>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</si>
  <si>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</si>
  <si>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</si>
  <si>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</si>
  <si>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</si>
  <si>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</si>
  <si>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</si>
  <si>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</si>
  <si>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</si>
  <si>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</si>
  <si>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9230З</t>
  </si>
  <si>
    <t>ВСЕГО</t>
  </si>
  <si>
    <t>Целевая статья</t>
  </si>
  <si>
    <t>Наименование</t>
  </si>
  <si>
    <t>07</t>
  </si>
  <si>
    <t>01</t>
  </si>
  <si>
    <t>0</t>
  </si>
  <si>
    <t>00010</t>
  </si>
  <si>
    <t>100</t>
  </si>
  <si>
    <t>200</t>
  </si>
  <si>
    <t>800</t>
  </si>
  <si>
    <t>00020</t>
  </si>
  <si>
    <t>80170</t>
  </si>
  <si>
    <t>02</t>
  </si>
  <si>
    <t>00030</t>
  </si>
  <si>
    <t>53031</t>
  </si>
  <si>
    <t>03</t>
  </si>
  <si>
    <t>00090</t>
  </si>
  <si>
    <t>05</t>
  </si>
  <si>
    <t>04</t>
  </si>
  <si>
    <t>10</t>
  </si>
  <si>
    <t>06</t>
  </si>
  <si>
    <t>300</t>
  </si>
  <si>
    <t>09</t>
  </si>
  <si>
    <t>S0190</t>
  </si>
  <si>
    <t>80200</t>
  </si>
  <si>
    <t>9156Г</t>
  </si>
  <si>
    <t>L3041</t>
  </si>
  <si>
    <t>80100</t>
  </si>
  <si>
    <t>80110</t>
  </si>
  <si>
    <t>08</t>
  </si>
  <si>
    <t>00170</t>
  </si>
  <si>
    <t>00180</t>
  </si>
  <si>
    <t>9160Г</t>
  </si>
  <si>
    <t>600</t>
  </si>
  <si>
    <t>9260З</t>
  </si>
  <si>
    <t>9360И</t>
  </si>
  <si>
    <t>9460М</t>
  </si>
  <si>
    <t>9560С</t>
  </si>
  <si>
    <t>S034З</t>
  </si>
  <si>
    <t>S034И</t>
  </si>
  <si>
    <t>Сумма на 2024 год, руб</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</si>
  <si>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</si>
  <si>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00190</t>
  </si>
  <si>
    <t>9180Г</t>
  </si>
  <si>
    <t>00200</t>
  </si>
  <si>
    <t>9183Г</t>
  </si>
  <si>
    <t>9162Г</t>
  </si>
  <si>
    <t>00230</t>
  </si>
  <si>
    <t>11</t>
  </si>
  <si>
    <t>9154Г</t>
  </si>
  <si>
    <t>9155Г</t>
  </si>
  <si>
    <t>00300</t>
  </si>
  <si>
    <t>00310</t>
  </si>
  <si>
    <t>13</t>
  </si>
  <si>
    <t>00380</t>
  </si>
  <si>
    <t>9220З</t>
  </si>
  <si>
    <t>9320И</t>
  </si>
  <si>
    <t>9420М</t>
  </si>
  <si>
    <t>9520С</t>
  </si>
  <si>
    <t>9330И</t>
  </si>
  <si>
    <t>9430М</t>
  </si>
  <si>
    <t>9530С</t>
  </si>
  <si>
    <t>9210З</t>
  </si>
  <si>
    <t>9310И</t>
  </si>
  <si>
    <t>9410М</t>
  </si>
  <si>
    <t>9225З</t>
  </si>
  <si>
    <t>9325И</t>
  </si>
  <si>
    <t>9425М</t>
  </si>
  <si>
    <t>9525С</t>
  </si>
  <si>
    <t>00290</t>
  </si>
  <si>
    <t>00400</t>
  </si>
  <si>
    <t>700</t>
  </si>
  <si>
    <t>9152Г</t>
  </si>
  <si>
    <t>80350</t>
  </si>
  <si>
    <t>80360</t>
  </si>
  <si>
    <t>80370</t>
  </si>
  <si>
    <t>90010</t>
  </si>
  <si>
    <t>500</t>
  </si>
  <si>
    <t>40040</t>
  </si>
  <si>
    <t>400</t>
  </si>
  <si>
    <t>00510</t>
  </si>
  <si>
    <t>00520</t>
  </si>
  <si>
    <t>16</t>
  </si>
  <si>
    <t>R0820</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</si>
  <si>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</si>
  <si>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</si>
  <si>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</si>
  <si>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</si>
  <si>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</si>
  <si>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</si>
  <si>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</si>
  <si>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</si>
  <si>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</si>
  <si>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</si>
  <si>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</si>
  <si>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</si>
  <si>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</si>
  <si>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«Сохранение и укрепление здоровья обучающихся»</t>
  </si>
  <si>
    <t>Основное мероприятие «Развитие интеллектуального, физического, творческого потенциала обучающихся. Патриотическое воспитание»</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</si>
  <si>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</si>
  <si>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</si>
  <si>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</si>
  <si>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</si>
  <si>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</si>
  <si>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</si>
  <si>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</si>
  <si>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</si>
  <si>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</si>
  <si>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Муниципальная программа Пучежского муниципального района « Развитие физической культуры и спорта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</si>
  <si>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</si>
  <si>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</si>
  <si>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</si>
  <si>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</si>
  <si>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«Выполнение мероприятий,  связанных с деятельностью органов местного самоуправления Пучежского муниципального района»</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</si>
  <si>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</si>
  <si>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</si>
  <si>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</si>
  <si>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</si>
  <si>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</si>
  <si>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</si>
  <si>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</si>
  <si>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</si>
  <si>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00040</t>
  </si>
  <si>
    <t>00050</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</si>
  <si>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</si>
  <si>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</si>
  <si>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</si>
  <si>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</si>
  <si>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</si>
  <si>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</si>
  <si>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</si>
  <si>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</si>
  <si>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2024-2025 годы</t>
  </si>
  <si>
    <t>Сумма на 2025 год, руб</t>
  </si>
  <si>
    <t>S2910</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</si>
  <si>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</si>
  <si>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</si>
  <si>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</si>
  <si>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</si>
  <si>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</si>
  <si>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</si>
  <si>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</si>
  <si>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</si>
  <si>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</si>
  <si>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</si>
  <si>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</si>
  <si>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</si>
  <si>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</si>
  <si>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</si>
  <si>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</si>
  <si>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</si>
  <si>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Вид рас-хода</t>
  </si>
  <si>
    <t>Изменения, руб</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</si>
  <si>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</si>
  <si>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9510С</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</si>
  <si>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</si>
  <si>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</si>
  <si>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</si>
  <si>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</si>
  <si>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</si>
  <si>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</si>
  <si>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</si>
  <si>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</si>
  <si>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</si>
  <si>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</si>
  <si>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</si>
  <si>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</si>
  <si>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</si>
  <si>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</si>
  <si>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</si>
  <si>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</si>
  <si>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</si>
  <si>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</si>
  <si>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</si>
  <si>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</si>
  <si>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</si>
  <si>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</si>
  <si>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</si>
  <si>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</si>
  <si>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</si>
  <si>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</si>
  <si>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</si>
  <si>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</si>
  <si>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</si>
  <si>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</si>
  <si>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</si>
  <si>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</si>
  <si>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L0820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</si>
  <si>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</si>
  <si>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Приложение № 5 к решению Совета 
Пучежского муниципального района 
от 12.12.2022  № 107</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</si>
</sst>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3">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sz val="10"/>
      <color indexed="30"/>
      <name val="Times New Roman"/>
      <family val="1"/>
    </font>
    <font>
      <sz val="10"/>
      <color indexed="30"/>
      <name val="Arial Cyr"/>
      <family val="0"/>
    </font>
    <font>
      <b/>
      <sz val="10"/>
      <color indexed="30"/>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9" fontId="7" fillId="0" borderId="1">
      <alignment vertical="top" wrapText="1"/>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2" applyNumberFormat="0" applyAlignment="0" applyProtection="0"/>
    <xf numFmtId="0" fontId="39" fillId="27" borderId="3" applyNumberFormat="0" applyAlignment="0" applyProtection="0"/>
    <xf numFmtId="0" fontId="40" fillId="27"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28" borderId="8"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45">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14" fillId="0" borderId="0" xfId="0" applyFont="1" applyAlignment="1">
      <alignment vertical="top"/>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8" fillId="35" borderId="11" xfId="0" applyFont="1" applyFill="1" applyBorder="1" applyAlignment="1">
      <alignment horizontal="justify" vertical="center" wrapText="1"/>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0" fontId="8" fillId="35" borderId="11" xfId="0" applyFont="1" applyFill="1" applyBorder="1" applyAlignment="1">
      <alignment vertical="center" wrapText="1"/>
    </xf>
    <xf numFmtId="49" fontId="1" fillId="0"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2" fillId="0" borderId="11" xfId="0" applyFont="1" applyBorder="1" applyAlignment="1">
      <alignment horizontal="justify" vertical="center" wrapText="1"/>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 fontId="1" fillId="0" borderId="13"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4" fontId="1" fillId="0" borderId="11" xfId="0" applyNumberFormat="1" applyFont="1" applyBorder="1" applyAlignment="1">
      <alignment horizontal="center" vertical="top" wrapText="1"/>
    </xf>
    <xf numFmtId="49" fontId="6" fillId="0" borderId="0" xfId="0" applyNumberFormat="1" applyFont="1" applyAlignment="1">
      <alignment horizontal="right" wrapText="1"/>
    </xf>
    <xf numFmtId="0" fontId="5" fillId="0" borderId="0" xfId="0" applyFont="1" applyAlignment="1">
      <alignment horizontal="center" wrapText="1"/>
    </xf>
    <xf numFmtId="49" fontId="1" fillId="0" borderId="11" xfId="0" applyNumberFormat="1" applyFont="1" applyBorder="1" applyAlignment="1">
      <alignment horizontal="center"/>
    </xf>
    <xf numFmtId="0" fontId="2" fillId="0" borderId="11"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52"/>
  <sheetViews>
    <sheetView tabSelected="1" zoomScalePageLayoutView="0" workbookViewId="0" topLeftCell="A1">
      <selection activeCell="N3" sqref="N3"/>
    </sheetView>
  </sheetViews>
  <sheetFormatPr defaultColWidth="9.00390625" defaultRowHeight="12.75"/>
  <cols>
    <col min="1" max="1" width="62.875" style="14" customWidth="1"/>
    <col min="2" max="2" width="5.625" style="4" customWidth="1"/>
    <col min="3" max="3" width="5.375" style="4" customWidth="1"/>
    <col min="4" max="4" width="7.00390625" style="4" customWidth="1"/>
    <col min="5" max="5" width="8.125" style="4" customWidth="1"/>
    <col min="6" max="6" width="5.75390625" style="4" customWidth="1"/>
    <col min="7" max="7" width="16.75390625" style="7" hidden="1" customWidth="1"/>
    <col min="8" max="8" width="16.125" style="7" hidden="1" customWidth="1"/>
    <col min="9" max="9" width="18.125" style="7" customWidth="1"/>
    <col min="10" max="10" width="18.75390625" style="7" hidden="1" customWidth="1"/>
    <col min="11" max="11" width="18.125" style="7" hidden="1" customWidth="1"/>
    <col min="12" max="12" width="18.375" style="7" customWidth="1"/>
    <col min="13" max="16" width="9.125" style="1" customWidth="1"/>
    <col min="17" max="17" width="12.75390625" style="1" bestFit="1" customWidth="1"/>
    <col min="18" max="18" width="10.125" style="1" bestFit="1" customWidth="1"/>
    <col min="19" max="19" width="9.25390625" style="1" bestFit="1" customWidth="1"/>
    <col min="20" max="16384" width="9.125" style="1" customWidth="1"/>
  </cols>
  <sheetData>
    <row r="1" spans="2:12" ht="42" customHeight="1">
      <c r="B1" s="41" t="s">
        <v>238</v>
      </c>
      <c r="C1" s="41"/>
      <c r="D1" s="41"/>
      <c r="E1" s="41"/>
      <c r="F1" s="41"/>
      <c r="G1" s="41"/>
      <c r="H1" s="41"/>
      <c r="I1" s="41"/>
      <c r="J1" s="41"/>
      <c r="K1" s="41"/>
      <c r="L1" s="41"/>
    </row>
    <row r="3" spans="1:12" ht="105" customHeight="1">
      <c r="A3" s="42" t="s">
        <v>181</v>
      </c>
      <c r="B3" s="42"/>
      <c r="C3" s="42"/>
      <c r="D3" s="42"/>
      <c r="E3" s="42"/>
      <c r="F3" s="42"/>
      <c r="G3" s="42"/>
      <c r="H3" s="42"/>
      <c r="I3" s="42"/>
      <c r="J3" s="42"/>
      <c r="K3" s="42"/>
      <c r="L3" s="42"/>
    </row>
    <row r="5" spans="1:12" ht="15.75" customHeight="1">
      <c r="A5" s="44" t="s">
        <v>51</v>
      </c>
      <c r="B5" s="43" t="s">
        <v>50</v>
      </c>
      <c r="C5" s="43"/>
      <c r="D5" s="43"/>
      <c r="E5" s="43"/>
      <c r="F5" s="36" t="s">
        <v>200</v>
      </c>
      <c r="G5" s="40" t="s">
        <v>89</v>
      </c>
      <c r="H5" s="38" t="s">
        <v>201</v>
      </c>
      <c r="I5" s="40" t="s">
        <v>89</v>
      </c>
      <c r="J5" s="40" t="s">
        <v>182</v>
      </c>
      <c r="K5" s="38" t="s">
        <v>201</v>
      </c>
      <c r="L5" s="40" t="s">
        <v>182</v>
      </c>
    </row>
    <row r="6" spans="1:253" ht="96.75" customHeight="1">
      <c r="A6" s="44"/>
      <c r="B6" s="5" t="s">
        <v>138</v>
      </c>
      <c r="C6" s="5" t="s">
        <v>139</v>
      </c>
      <c r="D6" s="5" t="s">
        <v>140</v>
      </c>
      <c r="E6" s="5" t="s">
        <v>141</v>
      </c>
      <c r="F6" s="37"/>
      <c r="G6" s="40"/>
      <c r="H6" s="39"/>
      <c r="I6" s="40"/>
      <c r="J6" s="40"/>
      <c r="K6" s="39"/>
      <c r="L6" s="40"/>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row>
    <row r="7" spans="1:253" ht="60" customHeight="1">
      <c r="A7" s="8" t="s">
        <v>142</v>
      </c>
      <c r="B7" s="19" t="s">
        <v>53</v>
      </c>
      <c r="C7" s="19" t="s">
        <v>54</v>
      </c>
      <c r="D7" s="19" t="s">
        <v>135</v>
      </c>
      <c r="E7" s="19" t="s">
        <v>187</v>
      </c>
      <c r="F7" s="20"/>
      <c r="G7" s="21">
        <f aca="true" t="shared" si="0" ref="G7:L7">G8+G17+G28+G32+G36+G38+G43</f>
        <v>103964416.14</v>
      </c>
      <c r="H7" s="21">
        <f t="shared" si="0"/>
        <v>1354851.25</v>
      </c>
      <c r="I7" s="21">
        <f t="shared" si="0"/>
        <v>105319267.39</v>
      </c>
      <c r="J7" s="21">
        <f t="shared" si="0"/>
        <v>96990880.2</v>
      </c>
      <c r="K7" s="21">
        <f t="shared" si="0"/>
        <v>10028878.280000001</v>
      </c>
      <c r="L7" s="21">
        <f t="shared" si="0"/>
        <v>107019758.48</v>
      </c>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row>
    <row r="8" spans="1:253" s="24" customFormat="1" ht="48" customHeight="1">
      <c r="A8" s="27" t="s">
        <v>143</v>
      </c>
      <c r="B8" s="28" t="s">
        <v>53</v>
      </c>
      <c r="C8" s="28" t="s">
        <v>54</v>
      </c>
      <c r="D8" s="28" t="s">
        <v>53</v>
      </c>
      <c r="E8" s="28" t="s">
        <v>187</v>
      </c>
      <c r="F8" s="30"/>
      <c r="G8" s="31">
        <f aca="true" t="shared" si="1" ref="G8:L8">SUM(G9:G16)</f>
        <v>35418584.85</v>
      </c>
      <c r="H8" s="31">
        <f t="shared" si="1"/>
        <v>367362</v>
      </c>
      <c r="I8" s="31">
        <f t="shared" si="1"/>
        <v>35785946.85</v>
      </c>
      <c r="J8" s="31">
        <f t="shared" si="1"/>
        <v>35909028.06</v>
      </c>
      <c r="K8" s="31">
        <f t="shared" si="1"/>
        <v>367362</v>
      </c>
      <c r="L8" s="31">
        <f t="shared" si="1"/>
        <v>36276390.06</v>
      </c>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row>
    <row r="9" spans="1:12" ht="96" customHeight="1">
      <c r="A9" s="15" t="s">
        <v>188</v>
      </c>
      <c r="B9" s="3" t="s">
        <v>53</v>
      </c>
      <c r="C9" s="3" t="s">
        <v>54</v>
      </c>
      <c r="D9" s="3" t="s">
        <v>53</v>
      </c>
      <c r="E9" s="3" t="s">
        <v>55</v>
      </c>
      <c r="F9" s="3" t="s">
        <v>56</v>
      </c>
      <c r="G9" s="6">
        <v>7646821.85</v>
      </c>
      <c r="H9" s="6">
        <v>0</v>
      </c>
      <c r="I9" s="6">
        <f>G9+H9</f>
        <v>7646821.85</v>
      </c>
      <c r="J9" s="6">
        <v>7646821.85</v>
      </c>
      <c r="K9" s="6">
        <v>0</v>
      </c>
      <c r="L9" s="6">
        <f aca="true" t="shared" si="2" ref="L9:L16">J9+K9</f>
        <v>7646821.85</v>
      </c>
    </row>
    <row r="10" spans="1:12" ht="66.75" customHeight="1">
      <c r="A10" s="15" t="s">
        <v>0</v>
      </c>
      <c r="B10" s="3" t="s">
        <v>53</v>
      </c>
      <c r="C10" s="3" t="s">
        <v>54</v>
      </c>
      <c r="D10" s="3" t="s">
        <v>53</v>
      </c>
      <c r="E10" s="3" t="s">
        <v>55</v>
      </c>
      <c r="F10" s="3" t="s">
        <v>57</v>
      </c>
      <c r="G10" s="6">
        <f>1584519-500000</f>
        <v>1084519</v>
      </c>
      <c r="H10" s="6">
        <v>0</v>
      </c>
      <c r="I10" s="6">
        <f aca="true" t="shared" si="3" ref="I10:I16">G10+H10</f>
        <v>1084519</v>
      </c>
      <c r="J10" s="6">
        <f>1728854-700000</f>
        <v>1028854</v>
      </c>
      <c r="K10" s="6">
        <v>0</v>
      </c>
      <c r="L10" s="6">
        <f t="shared" si="2"/>
        <v>1028854</v>
      </c>
    </row>
    <row r="11" spans="1:12" ht="48" customHeight="1">
      <c r="A11" s="15" t="s">
        <v>38</v>
      </c>
      <c r="B11" s="3" t="s">
        <v>53</v>
      </c>
      <c r="C11" s="3" t="s">
        <v>54</v>
      </c>
      <c r="D11" s="3" t="s">
        <v>53</v>
      </c>
      <c r="E11" s="3" t="s">
        <v>55</v>
      </c>
      <c r="F11" s="3" t="s">
        <v>58</v>
      </c>
      <c r="G11" s="6">
        <v>103965</v>
      </c>
      <c r="H11" s="6">
        <v>0</v>
      </c>
      <c r="I11" s="6">
        <f t="shared" si="3"/>
        <v>103965</v>
      </c>
      <c r="J11" s="6">
        <v>103965</v>
      </c>
      <c r="K11" s="6">
        <v>0</v>
      </c>
      <c r="L11" s="6">
        <f t="shared" si="2"/>
        <v>103965</v>
      </c>
    </row>
    <row r="12" spans="1:12" ht="51" customHeight="1">
      <c r="A12" s="15" t="s">
        <v>1</v>
      </c>
      <c r="B12" s="3" t="s">
        <v>53</v>
      </c>
      <c r="C12" s="3" t="s">
        <v>54</v>
      </c>
      <c r="D12" s="3" t="s">
        <v>53</v>
      </c>
      <c r="E12" s="3" t="s">
        <v>59</v>
      </c>
      <c r="F12" s="3" t="s">
        <v>57</v>
      </c>
      <c r="G12" s="6">
        <v>4925864</v>
      </c>
      <c r="H12" s="6">
        <v>0</v>
      </c>
      <c r="I12" s="6">
        <f t="shared" si="3"/>
        <v>4925864</v>
      </c>
      <c r="J12" s="6">
        <v>5425864</v>
      </c>
      <c r="K12" s="6">
        <v>0</v>
      </c>
      <c r="L12" s="6">
        <f t="shared" si="2"/>
        <v>5425864</v>
      </c>
    </row>
    <row r="13" spans="1:12" ht="51" customHeight="1">
      <c r="A13" s="15" t="s">
        <v>177</v>
      </c>
      <c r="B13" s="3" t="s">
        <v>53</v>
      </c>
      <c r="C13" s="3" t="s">
        <v>54</v>
      </c>
      <c r="D13" s="3" t="s">
        <v>53</v>
      </c>
      <c r="E13" s="3" t="s">
        <v>171</v>
      </c>
      <c r="F13" s="3" t="s">
        <v>57</v>
      </c>
      <c r="G13" s="6">
        <v>72450</v>
      </c>
      <c r="H13" s="6">
        <v>0</v>
      </c>
      <c r="I13" s="6">
        <f t="shared" si="3"/>
        <v>72450</v>
      </c>
      <c r="J13" s="6">
        <v>118558.21</v>
      </c>
      <c r="K13" s="6">
        <v>0</v>
      </c>
      <c r="L13" s="6">
        <f t="shared" si="2"/>
        <v>118558.21</v>
      </c>
    </row>
    <row r="14" spans="1:12" ht="51" customHeight="1">
      <c r="A14" s="15" t="s">
        <v>179</v>
      </c>
      <c r="B14" s="3" t="s">
        <v>53</v>
      </c>
      <c r="C14" s="3" t="s">
        <v>54</v>
      </c>
      <c r="D14" s="3" t="s">
        <v>53</v>
      </c>
      <c r="E14" s="3" t="s">
        <v>172</v>
      </c>
      <c r="F14" s="3" t="s">
        <v>57</v>
      </c>
      <c r="G14" s="6">
        <v>149637</v>
      </c>
      <c r="H14" s="6">
        <v>0</v>
      </c>
      <c r="I14" s="6">
        <f t="shared" si="3"/>
        <v>149637</v>
      </c>
      <c r="J14" s="6">
        <v>149637</v>
      </c>
      <c r="K14" s="6">
        <v>0</v>
      </c>
      <c r="L14" s="6">
        <f t="shared" si="2"/>
        <v>149637</v>
      </c>
    </row>
    <row r="15" spans="1:12" ht="177" customHeight="1">
      <c r="A15" s="15" t="s">
        <v>189</v>
      </c>
      <c r="B15" s="3" t="s">
        <v>53</v>
      </c>
      <c r="C15" s="3" t="s">
        <v>54</v>
      </c>
      <c r="D15" s="3" t="s">
        <v>53</v>
      </c>
      <c r="E15" s="3" t="s">
        <v>60</v>
      </c>
      <c r="F15" s="3" t="s">
        <v>56</v>
      </c>
      <c r="G15" s="6">
        <f>21435328-42894</f>
        <v>21392434</v>
      </c>
      <c r="H15" s="6">
        <v>261112</v>
      </c>
      <c r="I15" s="6">
        <f t="shared" si="3"/>
        <v>21653546</v>
      </c>
      <c r="J15" s="6">
        <f>21435328-42894</f>
        <v>21392434</v>
      </c>
      <c r="K15" s="6">
        <v>261112</v>
      </c>
      <c r="L15" s="6">
        <f t="shared" si="2"/>
        <v>21653546</v>
      </c>
    </row>
    <row r="16" spans="1:12" ht="144.75" customHeight="1">
      <c r="A16" s="15" t="s">
        <v>2</v>
      </c>
      <c r="B16" s="3" t="s">
        <v>53</v>
      </c>
      <c r="C16" s="3" t="s">
        <v>54</v>
      </c>
      <c r="D16" s="3" t="s">
        <v>53</v>
      </c>
      <c r="E16" s="3" t="s">
        <v>60</v>
      </c>
      <c r="F16" s="3" t="s">
        <v>57</v>
      </c>
      <c r="G16" s="6">
        <v>42894</v>
      </c>
      <c r="H16" s="6">
        <v>106250</v>
      </c>
      <c r="I16" s="6">
        <f t="shared" si="3"/>
        <v>149144</v>
      </c>
      <c r="J16" s="6">
        <v>42894</v>
      </c>
      <c r="K16" s="6">
        <v>106250</v>
      </c>
      <c r="L16" s="6">
        <f t="shared" si="2"/>
        <v>149144</v>
      </c>
    </row>
    <row r="17" spans="1:12" s="25" customFormat="1" ht="47.25">
      <c r="A17" s="27" t="s">
        <v>144</v>
      </c>
      <c r="B17" s="28" t="s">
        <v>53</v>
      </c>
      <c r="C17" s="28" t="s">
        <v>54</v>
      </c>
      <c r="D17" s="28" t="s">
        <v>61</v>
      </c>
      <c r="E17" s="28" t="s">
        <v>187</v>
      </c>
      <c r="F17" s="28"/>
      <c r="G17" s="29">
        <f aca="true" t="shared" si="4" ref="G17:L17">SUM(G18:G27)</f>
        <v>54358810.269999996</v>
      </c>
      <c r="H17" s="29">
        <f t="shared" si="4"/>
        <v>327415</v>
      </c>
      <c r="I17" s="29">
        <f t="shared" si="4"/>
        <v>54686225.269999996</v>
      </c>
      <c r="J17" s="29">
        <f t="shared" si="4"/>
        <v>50677205.4</v>
      </c>
      <c r="K17" s="29">
        <f t="shared" si="4"/>
        <v>5159601.98</v>
      </c>
      <c r="L17" s="29">
        <f t="shared" si="4"/>
        <v>55836807.38</v>
      </c>
    </row>
    <row r="18" spans="1:12" ht="48" customHeight="1">
      <c r="A18" s="15" t="s">
        <v>1</v>
      </c>
      <c r="B18" s="3" t="s">
        <v>53</v>
      </c>
      <c r="C18" s="3" t="s">
        <v>54</v>
      </c>
      <c r="D18" s="3" t="s">
        <v>61</v>
      </c>
      <c r="E18" s="3" t="s">
        <v>59</v>
      </c>
      <c r="F18" s="3" t="s">
        <v>57</v>
      </c>
      <c r="G18" s="6">
        <v>2693900</v>
      </c>
      <c r="H18" s="6">
        <v>0</v>
      </c>
      <c r="I18" s="6">
        <f aca="true" t="shared" si="5" ref="I18:I27">G18+H18</f>
        <v>2693900</v>
      </c>
      <c r="J18" s="6">
        <v>2767900</v>
      </c>
      <c r="K18" s="6">
        <v>0</v>
      </c>
      <c r="L18" s="6">
        <f aca="true" t="shared" si="6" ref="L18:L30">J18+K18</f>
        <v>2767900</v>
      </c>
    </row>
    <row r="19" spans="1:12" ht="97.5" customHeight="1">
      <c r="A19" s="15" t="s">
        <v>190</v>
      </c>
      <c r="B19" s="3" t="s">
        <v>53</v>
      </c>
      <c r="C19" s="3" t="s">
        <v>54</v>
      </c>
      <c r="D19" s="3" t="s">
        <v>61</v>
      </c>
      <c r="E19" s="3" t="s">
        <v>62</v>
      </c>
      <c r="F19" s="3" t="s">
        <v>56</v>
      </c>
      <c r="G19" s="6">
        <v>8649722.4</v>
      </c>
      <c r="H19" s="6">
        <v>0</v>
      </c>
      <c r="I19" s="6">
        <f t="shared" si="5"/>
        <v>8649722.4</v>
      </c>
      <c r="J19" s="6">
        <v>8649722.4</v>
      </c>
      <c r="K19" s="6">
        <v>0</v>
      </c>
      <c r="L19" s="6">
        <f t="shared" si="6"/>
        <v>8649722.4</v>
      </c>
    </row>
    <row r="20" spans="1:12" ht="66" customHeight="1">
      <c r="A20" s="15" t="s">
        <v>3</v>
      </c>
      <c r="B20" s="3" t="s">
        <v>53</v>
      </c>
      <c r="C20" s="3" t="s">
        <v>54</v>
      </c>
      <c r="D20" s="3" t="s">
        <v>61</v>
      </c>
      <c r="E20" s="3" t="s">
        <v>62</v>
      </c>
      <c r="F20" s="3" t="s">
        <v>57</v>
      </c>
      <c r="G20" s="6">
        <f>3365082.87-2000000</f>
        <v>1365082.87</v>
      </c>
      <c r="H20" s="6">
        <v>-28</v>
      </c>
      <c r="I20" s="6">
        <f t="shared" si="5"/>
        <v>1365054.87</v>
      </c>
      <c r="J20" s="6">
        <f>4249572-3000000</f>
        <v>1249572</v>
      </c>
      <c r="K20" s="6">
        <f>1243400-4761.02</f>
        <v>1238638.98</v>
      </c>
      <c r="L20" s="6">
        <f t="shared" si="6"/>
        <v>2488210.98</v>
      </c>
    </row>
    <row r="21" spans="1:12" ht="49.5" customHeight="1">
      <c r="A21" s="15" t="s">
        <v>39</v>
      </c>
      <c r="B21" s="3" t="s">
        <v>53</v>
      </c>
      <c r="C21" s="3" t="s">
        <v>54</v>
      </c>
      <c r="D21" s="3" t="s">
        <v>61</v>
      </c>
      <c r="E21" s="3" t="s">
        <v>62</v>
      </c>
      <c r="F21" s="3" t="s">
        <v>58</v>
      </c>
      <c r="G21" s="6">
        <v>209212</v>
      </c>
      <c r="H21" s="6">
        <v>0</v>
      </c>
      <c r="I21" s="6">
        <f t="shared" si="5"/>
        <v>209212</v>
      </c>
      <c r="J21" s="6">
        <v>209212</v>
      </c>
      <c r="K21" s="6">
        <v>0</v>
      </c>
      <c r="L21" s="6">
        <f t="shared" si="6"/>
        <v>209212</v>
      </c>
    </row>
    <row r="22" spans="1:12" ht="49.5" customHeight="1">
      <c r="A22" s="15" t="s">
        <v>177</v>
      </c>
      <c r="B22" s="3" t="s">
        <v>53</v>
      </c>
      <c r="C22" s="3" t="s">
        <v>54</v>
      </c>
      <c r="D22" s="3" t="s">
        <v>61</v>
      </c>
      <c r="E22" s="3" t="s">
        <v>171</v>
      </c>
      <c r="F22" s="3" t="s">
        <v>57</v>
      </c>
      <c r="G22" s="6">
        <v>82434</v>
      </c>
      <c r="H22" s="6">
        <v>0</v>
      </c>
      <c r="I22" s="6">
        <f t="shared" si="5"/>
        <v>82434</v>
      </c>
      <c r="J22" s="6">
        <v>82434</v>
      </c>
      <c r="K22" s="6">
        <v>0</v>
      </c>
      <c r="L22" s="6">
        <f t="shared" si="6"/>
        <v>82434</v>
      </c>
    </row>
    <row r="23" spans="1:12" ht="49.5" customHeight="1">
      <c r="A23" s="15" t="s">
        <v>179</v>
      </c>
      <c r="B23" s="3" t="s">
        <v>53</v>
      </c>
      <c r="C23" s="3" t="s">
        <v>54</v>
      </c>
      <c r="D23" s="3" t="s">
        <v>61</v>
      </c>
      <c r="E23" s="3" t="s">
        <v>172</v>
      </c>
      <c r="F23" s="3" t="s">
        <v>57</v>
      </c>
      <c r="G23" s="6">
        <v>387405</v>
      </c>
      <c r="H23" s="6">
        <v>0</v>
      </c>
      <c r="I23" s="6">
        <f t="shared" si="5"/>
        <v>387405</v>
      </c>
      <c r="J23" s="6">
        <v>340831</v>
      </c>
      <c r="K23" s="6">
        <v>0</v>
      </c>
      <c r="L23" s="6">
        <f t="shared" si="6"/>
        <v>340831</v>
      </c>
    </row>
    <row r="24" spans="1:12" ht="204.75" customHeight="1">
      <c r="A24" s="15" t="s">
        <v>222</v>
      </c>
      <c r="B24" s="3" t="s">
        <v>53</v>
      </c>
      <c r="C24" s="3" t="s">
        <v>54</v>
      </c>
      <c r="D24" s="3" t="s">
        <v>61</v>
      </c>
      <c r="E24" s="3" t="s">
        <v>223</v>
      </c>
      <c r="F24" s="3" t="s">
        <v>56</v>
      </c>
      <c r="G24" s="6">
        <f>37377534-824552</f>
        <v>36552982</v>
      </c>
      <c r="H24" s="6">
        <v>327443</v>
      </c>
      <c r="I24" s="6">
        <f t="shared" si="5"/>
        <v>36880425</v>
      </c>
      <c r="J24" s="6">
        <f>37377534-824552</f>
        <v>36552982</v>
      </c>
      <c r="K24" s="6">
        <v>327443</v>
      </c>
      <c r="L24" s="6">
        <f t="shared" si="6"/>
        <v>36880425</v>
      </c>
    </row>
    <row r="25" spans="1:12" ht="177.75" customHeight="1">
      <c r="A25" s="15" t="s">
        <v>224</v>
      </c>
      <c r="B25" s="3" t="s">
        <v>53</v>
      </c>
      <c r="C25" s="3" t="s">
        <v>54</v>
      </c>
      <c r="D25" s="3" t="s">
        <v>61</v>
      </c>
      <c r="E25" s="3" t="s">
        <v>223</v>
      </c>
      <c r="F25" s="3" t="s">
        <v>57</v>
      </c>
      <c r="G25" s="6">
        <v>824552</v>
      </c>
      <c r="H25" s="6">
        <v>0</v>
      </c>
      <c r="I25" s="6">
        <f t="shared" si="5"/>
        <v>824552</v>
      </c>
      <c r="J25" s="6">
        <v>824552</v>
      </c>
      <c r="K25" s="6">
        <v>0</v>
      </c>
      <c r="L25" s="6">
        <f t="shared" si="6"/>
        <v>824552</v>
      </c>
    </row>
    <row r="26" spans="1:12" ht="255.75" customHeight="1">
      <c r="A26" s="15" t="s">
        <v>230</v>
      </c>
      <c r="B26" s="3" t="s">
        <v>53</v>
      </c>
      <c r="C26" s="3" t="s">
        <v>54</v>
      </c>
      <c r="D26" s="3" t="s">
        <v>61</v>
      </c>
      <c r="E26" s="3" t="s">
        <v>229</v>
      </c>
      <c r="F26" s="3" t="s">
        <v>56</v>
      </c>
      <c r="G26" s="6">
        <v>0</v>
      </c>
      <c r="H26" s="6">
        <v>3593520</v>
      </c>
      <c r="I26" s="6">
        <f t="shared" si="5"/>
        <v>3593520</v>
      </c>
      <c r="J26" s="6">
        <v>0</v>
      </c>
      <c r="K26" s="6">
        <v>3593520</v>
      </c>
      <c r="L26" s="6">
        <f t="shared" si="6"/>
        <v>3593520</v>
      </c>
    </row>
    <row r="27" spans="1:12" ht="111" customHeight="1">
      <c r="A27" s="15" t="s">
        <v>191</v>
      </c>
      <c r="B27" s="3" t="s">
        <v>53</v>
      </c>
      <c r="C27" s="3" t="s">
        <v>54</v>
      </c>
      <c r="D27" s="3" t="s">
        <v>61</v>
      </c>
      <c r="E27" s="3" t="s">
        <v>63</v>
      </c>
      <c r="F27" s="3" t="s">
        <v>56</v>
      </c>
      <c r="G27" s="6">
        <v>3593520</v>
      </c>
      <c r="H27" s="6">
        <v>-3593520</v>
      </c>
      <c r="I27" s="6">
        <f t="shared" si="5"/>
        <v>0</v>
      </c>
      <c r="J27" s="6">
        <v>0</v>
      </c>
      <c r="K27" s="6">
        <v>0</v>
      </c>
      <c r="L27" s="6">
        <f t="shared" si="6"/>
        <v>0</v>
      </c>
    </row>
    <row r="28" spans="1:12" s="25" customFormat="1" ht="50.25" customHeight="1">
      <c r="A28" s="27" t="s">
        <v>145</v>
      </c>
      <c r="B28" s="28" t="s">
        <v>53</v>
      </c>
      <c r="C28" s="28" t="s">
        <v>54</v>
      </c>
      <c r="D28" s="28" t="s">
        <v>64</v>
      </c>
      <c r="E28" s="28" t="s">
        <v>187</v>
      </c>
      <c r="F28" s="28"/>
      <c r="G28" s="29">
        <f aca="true" t="shared" si="7" ref="G28:L28">SUM(G29:G31)</f>
        <v>4577074</v>
      </c>
      <c r="H28" s="29">
        <f t="shared" si="7"/>
        <v>0</v>
      </c>
      <c r="I28" s="29">
        <f t="shared" si="7"/>
        <v>4577074</v>
      </c>
      <c r="J28" s="29">
        <f t="shared" si="7"/>
        <v>4532106</v>
      </c>
      <c r="K28" s="29">
        <f t="shared" si="7"/>
        <v>0</v>
      </c>
      <c r="L28" s="29">
        <f t="shared" si="7"/>
        <v>4532106</v>
      </c>
    </row>
    <row r="29" spans="1:12" s="25" customFormat="1" ht="66.75" customHeight="1">
      <c r="A29" s="15" t="s">
        <v>178</v>
      </c>
      <c r="B29" s="3" t="s">
        <v>53</v>
      </c>
      <c r="C29" s="3" t="s">
        <v>54</v>
      </c>
      <c r="D29" s="3" t="s">
        <v>64</v>
      </c>
      <c r="E29" s="33" t="s">
        <v>171</v>
      </c>
      <c r="F29" s="33" t="s">
        <v>82</v>
      </c>
      <c r="G29" s="34">
        <v>35964</v>
      </c>
      <c r="H29" s="34">
        <v>0</v>
      </c>
      <c r="I29" s="6">
        <f>G29+H29</f>
        <v>35964</v>
      </c>
      <c r="J29" s="34">
        <v>35964</v>
      </c>
      <c r="K29" s="6">
        <v>0</v>
      </c>
      <c r="L29" s="6">
        <f t="shared" si="6"/>
        <v>35964</v>
      </c>
    </row>
    <row r="30" spans="1:12" s="25" customFormat="1" ht="63" customHeight="1">
      <c r="A30" s="15" t="s">
        <v>180</v>
      </c>
      <c r="B30" s="3" t="s">
        <v>53</v>
      </c>
      <c r="C30" s="3" t="s">
        <v>54</v>
      </c>
      <c r="D30" s="3" t="s">
        <v>64</v>
      </c>
      <c r="E30" s="33" t="s">
        <v>172</v>
      </c>
      <c r="F30" s="33" t="s">
        <v>82</v>
      </c>
      <c r="G30" s="34">
        <v>18200</v>
      </c>
      <c r="H30" s="34">
        <v>0</v>
      </c>
      <c r="I30" s="6">
        <f>G30+H30</f>
        <v>18200</v>
      </c>
      <c r="J30" s="34">
        <v>16200</v>
      </c>
      <c r="K30" s="6">
        <v>0</v>
      </c>
      <c r="L30" s="6">
        <f t="shared" si="6"/>
        <v>16200</v>
      </c>
    </row>
    <row r="31" spans="1:12" ht="63" customHeight="1">
      <c r="A31" s="15" t="s">
        <v>173</v>
      </c>
      <c r="B31" s="3" t="s">
        <v>53</v>
      </c>
      <c r="C31" s="3" t="s">
        <v>54</v>
      </c>
      <c r="D31" s="3" t="s">
        <v>64</v>
      </c>
      <c r="E31" s="3" t="s">
        <v>65</v>
      </c>
      <c r="F31" s="3" t="s">
        <v>82</v>
      </c>
      <c r="G31" s="6">
        <v>4522910</v>
      </c>
      <c r="H31" s="6">
        <v>0</v>
      </c>
      <c r="I31" s="6">
        <f>G31+H31</f>
        <v>4522910</v>
      </c>
      <c r="J31" s="6">
        <v>4479942</v>
      </c>
      <c r="K31" s="6">
        <v>0</v>
      </c>
      <c r="L31" s="6">
        <f>J31+K31</f>
        <v>4479942</v>
      </c>
    </row>
    <row r="32" spans="1:12" s="25" customFormat="1" ht="31.5">
      <c r="A32" s="27" t="s">
        <v>146</v>
      </c>
      <c r="B32" s="28" t="s">
        <v>53</v>
      </c>
      <c r="C32" s="28" t="s">
        <v>54</v>
      </c>
      <c r="D32" s="28" t="s">
        <v>66</v>
      </c>
      <c r="E32" s="28" t="s">
        <v>187</v>
      </c>
      <c r="F32" s="28"/>
      <c r="G32" s="29">
        <f aca="true" t="shared" si="8" ref="G32:L32">SUM(G33:G35)</f>
        <v>384405</v>
      </c>
      <c r="H32" s="29">
        <f t="shared" si="8"/>
        <v>32340</v>
      </c>
      <c r="I32" s="29">
        <f t="shared" si="8"/>
        <v>416745</v>
      </c>
      <c r="J32" s="29">
        <f t="shared" si="8"/>
        <v>384405</v>
      </c>
      <c r="K32" s="29">
        <f t="shared" si="8"/>
        <v>32340</v>
      </c>
      <c r="L32" s="29">
        <f t="shared" si="8"/>
        <v>416745</v>
      </c>
    </row>
    <row r="33" spans="1:12" ht="63">
      <c r="A33" s="15" t="s">
        <v>4</v>
      </c>
      <c r="B33" s="3" t="s">
        <v>53</v>
      </c>
      <c r="C33" s="3" t="s">
        <v>54</v>
      </c>
      <c r="D33" s="3" t="s">
        <v>66</v>
      </c>
      <c r="E33" s="3" t="s">
        <v>72</v>
      </c>
      <c r="F33" s="3" t="s">
        <v>57</v>
      </c>
      <c r="G33" s="6">
        <v>315840</v>
      </c>
      <c r="H33" s="6">
        <v>30030</v>
      </c>
      <c r="I33" s="6">
        <f>G33+H33</f>
        <v>345870</v>
      </c>
      <c r="J33" s="6">
        <v>315840</v>
      </c>
      <c r="K33" s="6">
        <v>30030</v>
      </c>
      <c r="L33" s="6">
        <f>J33+K33</f>
        <v>345870</v>
      </c>
    </row>
    <row r="34" spans="1:12" ht="78.75">
      <c r="A34" s="15" t="s">
        <v>7</v>
      </c>
      <c r="B34" s="3" t="s">
        <v>53</v>
      </c>
      <c r="C34" s="3" t="s">
        <v>54</v>
      </c>
      <c r="D34" s="3" t="s">
        <v>66</v>
      </c>
      <c r="E34" s="3" t="s">
        <v>72</v>
      </c>
      <c r="F34" s="3" t="s">
        <v>82</v>
      </c>
      <c r="G34" s="6">
        <v>42525</v>
      </c>
      <c r="H34" s="6">
        <v>0</v>
      </c>
      <c r="I34" s="6">
        <f>G34+H34</f>
        <v>42525</v>
      </c>
      <c r="J34" s="6">
        <v>42525</v>
      </c>
      <c r="K34" s="6">
        <v>0</v>
      </c>
      <c r="L34" s="6">
        <f>J34+K34</f>
        <v>42525</v>
      </c>
    </row>
    <row r="35" spans="1:12" ht="78.75">
      <c r="A35" s="15" t="s">
        <v>5</v>
      </c>
      <c r="B35" s="3" t="s">
        <v>53</v>
      </c>
      <c r="C35" s="3" t="s">
        <v>54</v>
      </c>
      <c r="D35" s="3" t="s">
        <v>66</v>
      </c>
      <c r="E35" s="3" t="s">
        <v>73</v>
      </c>
      <c r="F35" s="3" t="s">
        <v>57</v>
      </c>
      <c r="G35" s="6">
        <v>26040</v>
      </c>
      <c r="H35" s="6">
        <v>2310</v>
      </c>
      <c r="I35" s="6">
        <f>G35+H35</f>
        <v>28350</v>
      </c>
      <c r="J35" s="6">
        <v>26040</v>
      </c>
      <c r="K35" s="6">
        <v>2310</v>
      </c>
      <c r="L35" s="6">
        <f>J35+K35</f>
        <v>28350</v>
      </c>
    </row>
    <row r="36" spans="1:12" s="25" customFormat="1" ht="47.25">
      <c r="A36" s="27" t="s">
        <v>147</v>
      </c>
      <c r="B36" s="28" t="s">
        <v>53</v>
      </c>
      <c r="C36" s="28" t="s">
        <v>54</v>
      </c>
      <c r="D36" s="28" t="s">
        <v>69</v>
      </c>
      <c r="E36" s="28" t="s">
        <v>187</v>
      </c>
      <c r="F36" s="28"/>
      <c r="G36" s="29">
        <f aca="true" t="shared" si="9" ref="G36:L36">SUM(G37:G37)</f>
        <v>200000</v>
      </c>
      <c r="H36" s="29">
        <f t="shared" si="9"/>
        <v>0</v>
      </c>
      <c r="I36" s="29">
        <f t="shared" si="9"/>
        <v>200000</v>
      </c>
      <c r="J36" s="29">
        <f t="shared" si="9"/>
        <v>200000</v>
      </c>
      <c r="K36" s="29">
        <f t="shared" si="9"/>
        <v>0</v>
      </c>
      <c r="L36" s="29">
        <f t="shared" si="9"/>
        <v>200000</v>
      </c>
    </row>
    <row r="37" spans="1:12" ht="94.5">
      <c r="A37" s="15" t="s">
        <v>6</v>
      </c>
      <c r="B37" s="3" t="s">
        <v>53</v>
      </c>
      <c r="C37" s="3" t="s">
        <v>54</v>
      </c>
      <c r="D37" s="3" t="s">
        <v>69</v>
      </c>
      <c r="E37" s="3" t="s">
        <v>74</v>
      </c>
      <c r="F37" s="3" t="s">
        <v>57</v>
      </c>
      <c r="G37" s="6">
        <v>200000</v>
      </c>
      <c r="H37" s="6">
        <v>0</v>
      </c>
      <c r="I37" s="6">
        <f>G37+H37</f>
        <v>200000</v>
      </c>
      <c r="J37" s="6">
        <v>200000</v>
      </c>
      <c r="K37" s="6">
        <v>0</v>
      </c>
      <c r="L37" s="6">
        <f>J37+K37</f>
        <v>200000</v>
      </c>
    </row>
    <row r="38" spans="1:12" s="25" customFormat="1" ht="47.25">
      <c r="A38" s="27" t="s">
        <v>148</v>
      </c>
      <c r="B38" s="28" t="s">
        <v>53</v>
      </c>
      <c r="C38" s="28" t="s">
        <v>54</v>
      </c>
      <c r="D38" s="28" t="s">
        <v>52</v>
      </c>
      <c r="E38" s="28" t="s">
        <v>187</v>
      </c>
      <c r="F38" s="28"/>
      <c r="G38" s="29">
        <f aca="true" t="shared" si="10" ref="G38:L38">SUM(G39:G42)</f>
        <v>5029582.02</v>
      </c>
      <c r="H38" s="29">
        <f t="shared" si="10"/>
        <v>627734.25</v>
      </c>
      <c r="I38" s="29">
        <f t="shared" si="10"/>
        <v>5657316.27</v>
      </c>
      <c r="J38" s="29">
        <f t="shared" si="10"/>
        <v>1330955.74</v>
      </c>
      <c r="K38" s="29">
        <f t="shared" si="10"/>
        <v>4469574.3</v>
      </c>
      <c r="L38" s="29">
        <f t="shared" si="10"/>
        <v>5800530.04</v>
      </c>
    </row>
    <row r="39" spans="1:12" ht="111.75" customHeight="1">
      <c r="A39" s="15" t="s">
        <v>237</v>
      </c>
      <c r="B39" s="3" t="s">
        <v>53</v>
      </c>
      <c r="C39" s="3" t="s">
        <v>54</v>
      </c>
      <c r="D39" s="3" t="s">
        <v>52</v>
      </c>
      <c r="E39" s="3" t="s">
        <v>75</v>
      </c>
      <c r="F39" s="3" t="s">
        <v>57</v>
      </c>
      <c r="G39" s="6">
        <v>3991669.67</v>
      </c>
      <c r="H39" s="6">
        <f>7599.29+28</f>
        <v>7627.29</v>
      </c>
      <c r="I39" s="6">
        <f>G39+H39</f>
        <v>3999296.96</v>
      </c>
      <c r="J39" s="6">
        <v>293043.39</v>
      </c>
      <c r="K39" s="6">
        <f>3819948.88+4761.02</f>
        <v>3824709.9</v>
      </c>
      <c r="L39" s="6">
        <f>J39+K39</f>
        <v>4117753.29</v>
      </c>
    </row>
    <row r="40" spans="1:12" ht="129" customHeight="1">
      <c r="A40" s="15" t="s">
        <v>10</v>
      </c>
      <c r="B40" s="3" t="s">
        <v>53</v>
      </c>
      <c r="C40" s="3" t="s">
        <v>54</v>
      </c>
      <c r="D40" s="3" t="s">
        <v>52</v>
      </c>
      <c r="E40" s="3" t="s">
        <v>76</v>
      </c>
      <c r="F40" s="3" t="s">
        <v>57</v>
      </c>
      <c r="G40" s="6">
        <v>128356</v>
      </c>
      <c r="H40" s="6">
        <v>0</v>
      </c>
      <c r="I40" s="6">
        <f>G40+H40</f>
        <v>128356</v>
      </c>
      <c r="J40" s="6">
        <v>128356</v>
      </c>
      <c r="K40" s="6">
        <v>0</v>
      </c>
      <c r="L40" s="6">
        <f>J40+K40</f>
        <v>128356</v>
      </c>
    </row>
    <row r="41" spans="1:12" ht="94.5">
      <c r="A41" s="15" t="s">
        <v>26</v>
      </c>
      <c r="B41" s="3" t="s">
        <v>53</v>
      </c>
      <c r="C41" s="3" t="s">
        <v>54</v>
      </c>
      <c r="D41" s="3" t="s">
        <v>52</v>
      </c>
      <c r="E41" s="3" t="s">
        <v>77</v>
      </c>
      <c r="F41" s="3" t="s">
        <v>70</v>
      </c>
      <c r="G41" s="6">
        <v>909556.35</v>
      </c>
      <c r="H41" s="6">
        <v>0</v>
      </c>
      <c r="I41" s="6">
        <f>G41+H41</f>
        <v>909556.35</v>
      </c>
      <c r="J41" s="6">
        <v>909556.35</v>
      </c>
      <c r="K41" s="6">
        <v>0</v>
      </c>
      <c r="L41" s="6">
        <f>J41+K41</f>
        <v>909556.35</v>
      </c>
    </row>
    <row r="42" spans="1:12" ht="346.5">
      <c r="A42" s="15" t="s">
        <v>234</v>
      </c>
      <c r="B42" s="3" t="s">
        <v>53</v>
      </c>
      <c r="C42" s="3" t="s">
        <v>54</v>
      </c>
      <c r="D42" s="3" t="s">
        <v>52</v>
      </c>
      <c r="E42" s="3" t="s">
        <v>233</v>
      </c>
      <c r="F42" s="3" t="s">
        <v>57</v>
      </c>
      <c r="G42" s="6">
        <v>0</v>
      </c>
      <c r="H42" s="6">
        <v>620106.96</v>
      </c>
      <c r="I42" s="6">
        <f>G42+H42</f>
        <v>620106.96</v>
      </c>
      <c r="J42" s="6">
        <v>0</v>
      </c>
      <c r="K42" s="6">
        <v>644864.4</v>
      </c>
      <c r="L42" s="6">
        <f>J42+K42</f>
        <v>644864.4</v>
      </c>
    </row>
    <row r="43" spans="1:12" s="26" customFormat="1" ht="47.25">
      <c r="A43" s="27" t="s">
        <v>149</v>
      </c>
      <c r="B43" s="28" t="s">
        <v>53</v>
      </c>
      <c r="C43" s="28" t="s">
        <v>54</v>
      </c>
      <c r="D43" s="28" t="s">
        <v>78</v>
      </c>
      <c r="E43" s="28" t="s">
        <v>187</v>
      </c>
      <c r="F43" s="28"/>
      <c r="G43" s="29">
        <f aca="true" t="shared" si="11" ref="G43:L43">SUM(G44:G46)</f>
        <v>3995960</v>
      </c>
      <c r="H43" s="29">
        <f t="shared" si="11"/>
        <v>0</v>
      </c>
      <c r="I43" s="29">
        <f t="shared" si="11"/>
        <v>3995960</v>
      </c>
      <c r="J43" s="29">
        <f t="shared" si="11"/>
        <v>3957180</v>
      </c>
      <c r="K43" s="29">
        <f t="shared" si="11"/>
        <v>0</v>
      </c>
      <c r="L43" s="29">
        <f t="shared" si="11"/>
        <v>3957180</v>
      </c>
    </row>
    <row r="44" spans="1:12" ht="110.25">
      <c r="A44" s="15" t="s">
        <v>192</v>
      </c>
      <c r="B44" s="3" t="s">
        <v>53</v>
      </c>
      <c r="C44" s="3" t="s">
        <v>54</v>
      </c>
      <c r="D44" s="3" t="s">
        <v>78</v>
      </c>
      <c r="E44" s="3" t="s">
        <v>79</v>
      </c>
      <c r="F44" s="3" t="s">
        <v>56</v>
      </c>
      <c r="G44" s="6">
        <v>3800776</v>
      </c>
      <c r="H44" s="6">
        <v>0</v>
      </c>
      <c r="I44" s="6">
        <f>G44+H44</f>
        <v>3800776</v>
      </c>
      <c r="J44" s="6">
        <v>3800776</v>
      </c>
      <c r="K44" s="6">
        <v>0</v>
      </c>
      <c r="L44" s="6">
        <f>J44+K44</f>
        <v>3800776</v>
      </c>
    </row>
    <row r="45" spans="1:12" ht="78.75">
      <c r="A45" s="15" t="s">
        <v>11</v>
      </c>
      <c r="B45" s="3" t="s">
        <v>53</v>
      </c>
      <c r="C45" s="3" t="s">
        <v>54</v>
      </c>
      <c r="D45" s="3" t="s">
        <v>78</v>
      </c>
      <c r="E45" s="3" t="s">
        <v>79</v>
      </c>
      <c r="F45" s="3" t="s">
        <v>57</v>
      </c>
      <c r="G45" s="6">
        <v>189184</v>
      </c>
      <c r="H45" s="6">
        <v>0</v>
      </c>
      <c r="I45" s="6">
        <f>G45+H45</f>
        <v>189184</v>
      </c>
      <c r="J45" s="6">
        <v>150404</v>
      </c>
      <c r="K45" s="6">
        <v>0</v>
      </c>
      <c r="L45" s="6">
        <f>J45+K45</f>
        <v>150404</v>
      </c>
    </row>
    <row r="46" spans="1:12" ht="63">
      <c r="A46" s="15" t="s">
        <v>40</v>
      </c>
      <c r="B46" s="3" t="s">
        <v>53</v>
      </c>
      <c r="C46" s="3" t="s">
        <v>54</v>
      </c>
      <c r="D46" s="3" t="s">
        <v>78</v>
      </c>
      <c r="E46" s="3" t="s">
        <v>79</v>
      </c>
      <c r="F46" s="3" t="s">
        <v>58</v>
      </c>
      <c r="G46" s="6">
        <v>6000</v>
      </c>
      <c r="H46" s="6">
        <v>0</v>
      </c>
      <c r="I46" s="6">
        <f>G46+H46</f>
        <v>6000</v>
      </c>
      <c r="J46" s="6">
        <v>6000</v>
      </c>
      <c r="K46" s="6">
        <v>0</v>
      </c>
      <c r="L46" s="6">
        <f>J46+K46</f>
        <v>6000</v>
      </c>
    </row>
    <row r="47" spans="1:12" s="10" customFormat="1" ht="56.25">
      <c r="A47" s="17" t="s">
        <v>150</v>
      </c>
      <c r="B47" s="19" t="s">
        <v>61</v>
      </c>
      <c r="C47" s="19" t="s">
        <v>54</v>
      </c>
      <c r="D47" s="19" t="s">
        <v>54</v>
      </c>
      <c r="E47" s="19" t="s">
        <v>187</v>
      </c>
      <c r="F47" s="19"/>
      <c r="G47" s="22">
        <f aca="true" t="shared" si="12" ref="G47:L47">G48+G54+G62+G69+G74+G76</f>
        <v>32308748.9</v>
      </c>
      <c r="H47" s="22">
        <f t="shared" si="12"/>
        <v>-946189.67</v>
      </c>
      <c r="I47" s="22">
        <f t="shared" si="12"/>
        <v>31362559.229999997</v>
      </c>
      <c r="J47" s="22">
        <f t="shared" si="12"/>
        <v>32528281.9</v>
      </c>
      <c r="K47" s="22">
        <f t="shared" si="12"/>
        <v>-1490633.67</v>
      </c>
      <c r="L47" s="22">
        <f t="shared" si="12"/>
        <v>31037648.229999997</v>
      </c>
    </row>
    <row r="48" spans="1:12" s="9" customFormat="1" ht="47.25">
      <c r="A48" s="27" t="s">
        <v>151</v>
      </c>
      <c r="B48" s="28" t="s">
        <v>61</v>
      </c>
      <c r="C48" s="28" t="s">
        <v>54</v>
      </c>
      <c r="D48" s="28" t="s">
        <v>53</v>
      </c>
      <c r="E48" s="28" t="s">
        <v>187</v>
      </c>
      <c r="F48" s="28"/>
      <c r="G48" s="29">
        <f aca="true" t="shared" si="13" ref="G48:L48">SUM(G49:G53)</f>
        <v>5872943.5</v>
      </c>
      <c r="H48" s="29">
        <f t="shared" si="13"/>
        <v>0</v>
      </c>
      <c r="I48" s="29">
        <f>SUM(I49:I53)</f>
        <v>5872943.5</v>
      </c>
      <c r="J48" s="29">
        <f t="shared" si="13"/>
        <v>6015943.5</v>
      </c>
      <c r="K48" s="29">
        <f t="shared" si="13"/>
        <v>0</v>
      </c>
      <c r="L48" s="29">
        <f t="shared" si="13"/>
        <v>6015943.5</v>
      </c>
    </row>
    <row r="49" spans="1:12" ht="47.25" customHeight="1">
      <c r="A49" s="15" t="s">
        <v>177</v>
      </c>
      <c r="B49" s="3" t="s">
        <v>61</v>
      </c>
      <c r="C49" s="3" t="s">
        <v>54</v>
      </c>
      <c r="D49" s="3" t="s">
        <v>53</v>
      </c>
      <c r="E49" s="3" t="s">
        <v>171</v>
      </c>
      <c r="F49" s="3" t="s">
        <v>57</v>
      </c>
      <c r="G49" s="6">
        <v>45000</v>
      </c>
      <c r="H49" s="6">
        <v>0</v>
      </c>
      <c r="I49" s="6">
        <f>G49+H49</f>
        <v>45000</v>
      </c>
      <c r="J49" s="6">
        <v>12000</v>
      </c>
      <c r="K49" s="6">
        <v>0</v>
      </c>
      <c r="L49" s="6">
        <f>J49+K49</f>
        <v>12000</v>
      </c>
    </row>
    <row r="50" spans="1:12" ht="50.25" customHeight="1">
      <c r="A50" s="15" t="s">
        <v>179</v>
      </c>
      <c r="B50" s="3" t="s">
        <v>61</v>
      </c>
      <c r="C50" s="3" t="s">
        <v>54</v>
      </c>
      <c r="D50" s="3" t="s">
        <v>53</v>
      </c>
      <c r="E50" s="3" t="s">
        <v>172</v>
      </c>
      <c r="F50" s="3" t="s">
        <v>57</v>
      </c>
      <c r="G50" s="6">
        <v>40000</v>
      </c>
      <c r="H50" s="6">
        <v>0</v>
      </c>
      <c r="I50" s="6">
        <f>G50+H50</f>
        <v>40000</v>
      </c>
      <c r="J50" s="6">
        <v>40000</v>
      </c>
      <c r="K50" s="6">
        <v>0</v>
      </c>
      <c r="L50" s="6">
        <f>J50+K50</f>
        <v>40000</v>
      </c>
    </row>
    <row r="51" spans="1:12" ht="98.25" customHeight="1">
      <c r="A51" s="15" t="s">
        <v>193</v>
      </c>
      <c r="B51" s="3" t="s">
        <v>61</v>
      </c>
      <c r="C51" s="3" t="s">
        <v>54</v>
      </c>
      <c r="D51" s="3" t="s">
        <v>53</v>
      </c>
      <c r="E51" s="3" t="s">
        <v>80</v>
      </c>
      <c r="F51" s="3" t="s">
        <v>56</v>
      </c>
      <c r="G51" s="6">
        <v>5169833.5</v>
      </c>
      <c r="H51" s="6">
        <v>0</v>
      </c>
      <c r="I51" s="6">
        <f>G51+H51</f>
        <v>5169833.5</v>
      </c>
      <c r="J51" s="6">
        <v>5169833.5</v>
      </c>
      <c r="K51" s="6">
        <v>0</v>
      </c>
      <c r="L51" s="6">
        <f>J51+K51</f>
        <v>5169833.5</v>
      </c>
    </row>
    <row r="52" spans="1:12" ht="66" customHeight="1">
      <c r="A52" s="15" t="s">
        <v>12</v>
      </c>
      <c r="B52" s="3" t="s">
        <v>61</v>
      </c>
      <c r="C52" s="3" t="s">
        <v>54</v>
      </c>
      <c r="D52" s="3" t="s">
        <v>53</v>
      </c>
      <c r="E52" s="3" t="s">
        <v>80</v>
      </c>
      <c r="F52" s="3" t="s">
        <v>57</v>
      </c>
      <c r="G52" s="6">
        <v>575600</v>
      </c>
      <c r="H52" s="6">
        <v>0</v>
      </c>
      <c r="I52" s="6">
        <f>G52+H52</f>
        <v>575600</v>
      </c>
      <c r="J52" s="6">
        <v>751600</v>
      </c>
      <c r="K52" s="6">
        <v>0</v>
      </c>
      <c r="L52" s="6">
        <f>J52+K52</f>
        <v>751600</v>
      </c>
    </row>
    <row r="53" spans="1:12" ht="52.5" customHeight="1">
      <c r="A53" s="15" t="s">
        <v>41</v>
      </c>
      <c r="B53" s="3" t="s">
        <v>61</v>
      </c>
      <c r="C53" s="3" t="s">
        <v>54</v>
      </c>
      <c r="D53" s="3" t="s">
        <v>53</v>
      </c>
      <c r="E53" s="3" t="s">
        <v>80</v>
      </c>
      <c r="F53" s="3" t="s">
        <v>58</v>
      </c>
      <c r="G53" s="6">
        <v>42510</v>
      </c>
      <c r="H53" s="6">
        <v>0</v>
      </c>
      <c r="I53" s="6">
        <f>G53+H53</f>
        <v>42510</v>
      </c>
      <c r="J53" s="6">
        <v>42510</v>
      </c>
      <c r="K53" s="6">
        <v>0</v>
      </c>
      <c r="L53" s="6">
        <f>J53+K53</f>
        <v>42510</v>
      </c>
    </row>
    <row r="54" spans="1:12" s="9" customFormat="1" ht="32.25" customHeight="1">
      <c r="A54" s="27" t="s">
        <v>152</v>
      </c>
      <c r="B54" s="28" t="s">
        <v>61</v>
      </c>
      <c r="C54" s="28" t="s">
        <v>54</v>
      </c>
      <c r="D54" s="28" t="s">
        <v>61</v>
      </c>
      <c r="E54" s="28" t="s">
        <v>187</v>
      </c>
      <c r="F54" s="28"/>
      <c r="G54" s="29">
        <f aca="true" t="shared" si="14" ref="G54:L54">SUM(G55:G61)</f>
        <v>16053200</v>
      </c>
      <c r="H54" s="29">
        <f t="shared" si="14"/>
        <v>-45110.320000000065</v>
      </c>
      <c r="I54" s="29">
        <f t="shared" si="14"/>
        <v>16008089.68</v>
      </c>
      <c r="J54" s="29">
        <f t="shared" si="14"/>
        <v>16053200</v>
      </c>
      <c r="K54" s="29">
        <f t="shared" si="14"/>
        <v>-589610.3200000001</v>
      </c>
      <c r="L54" s="29">
        <f t="shared" si="14"/>
        <v>15463589.68</v>
      </c>
    </row>
    <row r="55" spans="1:12" ht="110.25">
      <c r="A55" s="15" t="s">
        <v>29</v>
      </c>
      <c r="B55" s="3" t="s">
        <v>61</v>
      </c>
      <c r="C55" s="3" t="s">
        <v>54</v>
      </c>
      <c r="D55" s="3" t="s">
        <v>61</v>
      </c>
      <c r="E55" s="3" t="s">
        <v>81</v>
      </c>
      <c r="F55" s="3" t="s">
        <v>82</v>
      </c>
      <c r="G55" s="6">
        <v>9333200</v>
      </c>
      <c r="H55" s="6">
        <v>1481176.18</v>
      </c>
      <c r="I55" s="6">
        <f aca="true" t="shared" si="15" ref="I55:I61">G55+H55</f>
        <v>10814376.18</v>
      </c>
      <c r="J55" s="6">
        <v>9333200</v>
      </c>
      <c r="K55" s="6">
        <v>1481176.18</v>
      </c>
      <c r="L55" s="6">
        <f aca="true" t="shared" si="16" ref="L55:L61">J55+K55</f>
        <v>10814376.18</v>
      </c>
    </row>
    <row r="56" spans="1:12" ht="110.25" customHeight="1">
      <c r="A56" s="15" t="s">
        <v>30</v>
      </c>
      <c r="B56" s="3" t="s">
        <v>61</v>
      </c>
      <c r="C56" s="3" t="s">
        <v>54</v>
      </c>
      <c r="D56" s="3" t="s">
        <v>61</v>
      </c>
      <c r="E56" s="3" t="s">
        <v>83</v>
      </c>
      <c r="F56" s="3" t="s">
        <v>82</v>
      </c>
      <c r="G56" s="6">
        <v>937100</v>
      </c>
      <c r="H56" s="6">
        <v>-545463.95</v>
      </c>
      <c r="I56" s="6">
        <f t="shared" si="15"/>
        <v>391636.05000000005</v>
      </c>
      <c r="J56" s="6">
        <v>937100</v>
      </c>
      <c r="K56" s="6">
        <f>-202300-540963.95</f>
        <v>-743263.95</v>
      </c>
      <c r="L56" s="6">
        <f t="shared" si="16"/>
        <v>193836.05000000005</v>
      </c>
    </row>
    <row r="57" spans="1:12" ht="110.25" customHeight="1">
      <c r="A57" s="15" t="s">
        <v>34</v>
      </c>
      <c r="B57" s="3" t="s">
        <v>61</v>
      </c>
      <c r="C57" s="3" t="s">
        <v>54</v>
      </c>
      <c r="D57" s="3" t="s">
        <v>61</v>
      </c>
      <c r="E57" s="3" t="s">
        <v>87</v>
      </c>
      <c r="F57" s="3" t="s">
        <v>82</v>
      </c>
      <c r="G57" s="6">
        <v>12900</v>
      </c>
      <c r="H57" s="6">
        <f>14674.45-12900</f>
        <v>1774.4500000000007</v>
      </c>
      <c r="I57" s="6">
        <f t="shared" si="15"/>
        <v>14674.45</v>
      </c>
      <c r="J57" s="6">
        <v>12900</v>
      </c>
      <c r="K57" s="6">
        <f>14674.45-12900</f>
        <v>1774.4500000000007</v>
      </c>
      <c r="L57" s="6">
        <f t="shared" si="16"/>
        <v>14674.45</v>
      </c>
    </row>
    <row r="58" spans="1:12" ht="126">
      <c r="A58" s="15" t="s">
        <v>31</v>
      </c>
      <c r="B58" s="3" t="s">
        <v>61</v>
      </c>
      <c r="C58" s="3" t="s">
        <v>54</v>
      </c>
      <c r="D58" s="3" t="s">
        <v>61</v>
      </c>
      <c r="E58" s="3" t="s">
        <v>84</v>
      </c>
      <c r="F58" s="3" t="s">
        <v>82</v>
      </c>
      <c r="G58" s="6">
        <v>2170000</v>
      </c>
      <c r="H58" s="6">
        <v>480000</v>
      </c>
      <c r="I58" s="6">
        <f t="shared" si="15"/>
        <v>2650000</v>
      </c>
      <c r="J58" s="6">
        <v>2170000</v>
      </c>
      <c r="K58" s="6">
        <v>530000</v>
      </c>
      <c r="L58" s="6">
        <f t="shared" si="16"/>
        <v>2700000</v>
      </c>
    </row>
    <row r="59" spans="1:12" ht="141.75">
      <c r="A59" s="15" t="s">
        <v>35</v>
      </c>
      <c r="B59" s="3" t="s">
        <v>61</v>
      </c>
      <c r="C59" s="3" t="s">
        <v>54</v>
      </c>
      <c r="D59" s="3" t="s">
        <v>61</v>
      </c>
      <c r="E59" s="3" t="s">
        <v>88</v>
      </c>
      <c r="F59" s="3" t="s">
        <v>82</v>
      </c>
      <c r="G59" s="6">
        <v>30000</v>
      </c>
      <c r="H59" s="6">
        <f>26900-30000</f>
        <v>-3100</v>
      </c>
      <c r="I59" s="6">
        <f t="shared" si="15"/>
        <v>26900</v>
      </c>
      <c r="J59" s="6">
        <v>30000</v>
      </c>
      <c r="K59" s="6">
        <f>26900-30000</f>
        <v>-3100</v>
      </c>
      <c r="L59" s="6">
        <f t="shared" si="16"/>
        <v>26900</v>
      </c>
    </row>
    <row r="60" spans="1:12" ht="126">
      <c r="A60" s="15" t="s">
        <v>32</v>
      </c>
      <c r="B60" s="3" t="s">
        <v>61</v>
      </c>
      <c r="C60" s="3" t="s">
        <v>54</v>
      </c>
      <c r="D60" s="3" t="s">
        <v>61</v>
      </c>
      <c r="E60" s="3" t="s">
        <v>85</v>
      </c>
      <c r="F60" s="3" t="s">
        <v>82</v>
      </c>
      <c r="G60" s="6">
        <v>1100000</v>
      </c>
      <c r="H60" s="6">
        <v>-689497</v>
      </c>
      <c r="I60" s="6">
        <f t="shared" si="15"/>
        <v>410503</v>
      </c>
      <c r="J60" s="6">
        <v>1100000</v>
      </c>
      <c r="K60" s="6">
        <v>-683497</v>
      </c>
      <c r="L60" s="6">
        <f t="shared" si="16"/>
        <v>416503</v>
      </c>
    </row>
    <row r="61" spans="1:12" ht="126">
      <c r="A61" s="15" t="s">
        <v>33</v>
      </c>
      <c r="B61" s="3" t="s">
        <v>61</v>
      </c>
      <c r="C61" s="3" t="s">
        <v>54</v>
      </c>
      <c r="D61" s="3" t="s">
        <v>61</v>
      </c>
      <c r="E61" s="3" t="s">
        <v>86</v>
      </c>
      <c r="F61" s="3" t="s">
        <v>82</v>
      </c>
      <c r="G61" s="6">
        <v>2470000</v>
      </c>
      <c r="H61" s="6">
        <v>-770000</v>
      </c>
      <c r="I61" s="6">
        <f t="shared" si="15"/>
        <v>1700000</v>
      </c>
      <c r="J61" s="6">
        <v>2470000</v>
      </c>
      <c r="K61" s="6">
        <f>-770000-402700</f>
        <v>-1172700</v>
      </c>
      <c r="L61" s="6">
        <f t="shared" si="16"/>
        <v>1297300</v>
      </c>
    </row>
    <row r="62" spans="1:12" s="9" customFormat="1" ht="31.5">
      <c r="A62" s="27" t="s">
        <v>153</v>
      </c>
      <c r="B62" s="28" t="s">
        <v>61</v>
      </c>
      <c r="C62" s="28" t="s">
        <v>54</v>
      </c>
      <c r="D62" s="28" t="s">
        <v>64</v>
      </c>
      <c r="E62" s="28" t="s">
        <v>187</v>
      </c>
      <c r="F62" s="28"/>
      <c r="G62" s="29">
        <f aca="true" t="shared" si="17" ref="G62:L62">SUM(G63:G68)</f>
        <v>6440909</v>
      </c>
      <c r="H62" s="29">
        <f t="shared" si="17"/>
        <v>783419.65</v>
      </c>
      <c r="I62" s="29">
        <f t="shared" si="17"/>
        <v>7224328.65</v>
      </c>
      <c r="J62" s="29">
        <f t="shared" si="17"/>
        <v>6449593</v>
      </c>
      <c r="K62" s="29">
        <f t="shared" si="17"/>
        <v>783475.65</v>
      </c>
      <c r="L62" s="29">
        <f t="shared" si="17"/>
        <v>7233068.65</v>
      </c>
    </row>
    <row r="63" spans="1:12" ht="96.75" customHeight="1">
      <c r="A63" s="15" t="s">
        <v>194</v>
      </c>
      <c r="B63" s="3" t="s">
        <v>61</v>
      </c>
      <c r="C63" s="3" t="s">
        <v>54</v>
      </c>
      <c r="D63" s="3" t="s">
        <v>64</v>
      </c>
      <c r="E63" s="3" t="s">
        <v>91</v>
      </c>
      <c r="F63" s="3" t="s">
        <v>56</v>
      </c>
      <c r="G63" s="6">
        <v>1990918</v>
      </c>
      <c r="H63" s="6">
        <v>0</v>
      </c>
      <c r="I63" s="6">
        <f aca="true" t="shared" si="18" ref="I63:I68">G63+H63</f>
        <v>1990918</v>
      </c>
      <c r="J63" s="6">
        <v>1990918</v>
      </c>
      <c r="K63" s="6">
        <v>0</v>
      </c>
      <c r="L63" s="6">
        <f aca="true" t="shared" si="19" ref="L63:L68">J63+K63</f>
        <v>1990918</v>
      </c>
    </row>
    <row r="64" spans="1:12" ht="66" customHeight="1">
      <c r="A64" s="15" t="s">
        <v>13</v>
      </c>
      <c r="B64" s="3" t="s">
        <v>61</v>
      </c>
      <c r="C64" s="3" t="s">
        <v>54</v>
      </c>
      <c r="D64" s="3" t="s">
        <v>64</v>
      </c>
      <c r="E64" s="3" t="s">
        <v>91</v>
      </c>
      <c r="F64" s="3" t="s">
        <v>57</v>
      </c>
      <c r="G64" s="6">
        <v>421441</v>
      </c>
      <c r="H64" s="6">
        <v>0</v>
      </c>
      <c r="I64" s="6">
        <f t="shared" si="18"/>
        <v>421441</v>
      </c>
      <c r="J64" s="6">
        <v>430125</v>
      </c>
      <c r="K64" s="6">
        <v>0</v>
      </c>
      <c r="L64" s="6">
        <f t="shared" si="19"/>
        <v>430125</v>
      </c>
    </row>
    <row r="65" spans="1:12" ht="157.5">
      <c r="A65" s="15" t="s">
        <v>195</v>
      </c>
      <c r="B65" s="3" t="s">
        <v>61</v>
      </c>
      <c r="C65" s="3" t="s">
        <v>54</v>
      </c>
      <c r="D65" s="3" t="s">
        <v>64</v>
      </c>
      <c r="E65" s="3" t="s">
        <v>92</v>
      </c>
      <c r="F65" s="3" t="s">
        <v>56</v>
      </c>
      <c r="G65" s="6">
        <v>3656567</v>
      </c>
      <c r="H65" s="6">
        <v>0</v>
      </c>
      <c r="I65" s="6">
        <f t="shared" si="18"/>
        <v>3656567</v>
      </c>
      <c r="J65" s="6">
        <v>3656567</v>
      </c>
      <c r="K65" s="6">
        <v>0</v>
      </c>
      <c r="L65" s="6">
        <f t="shared" si="19"/>
        <v>3656567</v>
      </c>
    </row>
    <row r="66" spans="1:12" ht="112.5" customHeight="1">
      <c r="A66" s="15" t="s">
        <v>14</v>
      </c>
      <c r="B66" s="3" t="s">
        <v>61</v>
      </c>
      <c r="C66" s="3" t="s">
        <v>54</v>
      </c>
      <c r="D66" s="3" t="s">
        <v>64</v>
      </c>
      <c r="E66" s="3" t="s">
        <v>92</v>
      </c>
      <c r="F66" s="3" t="s">
        <v>57</v>
      </c>
      <c r="G66" s="6">
        <v>364163</v>
      </c>
      <c r="H66" s="6">
        <f>325.16+745751.49</f>
        <v>746076.65</v>
      </c>
      <c r="I66" s="6">
        <f t="shared" si="18"/>
        <v>1110239.65</v>
      </c>
      <c r="J66" s="6">
        <v>364163</v>
      </c>
      <c r="K66" s="6">
        <f>322.16+745751.49</f>
        <v>746073.65</v>
      </c>
      <c r="L66" s="6">
        <f t="shared" si="19"/>
        <v>1110236.65</v>
      </c>
    </row>
    <row r="67" spans="1:12" ht="114.75" customHeight="1">
      <c r="A67" s="15" t="s">
        <v>202</v>
      </c>
      <c r="B67" s="3" t="s">
        <v>61</v>
      </c>
      <c r="C67" s="3" t="s">
        <v>54</v>
      </c>
      <c r="D67" s="3" t="s">
        <v>64</v>
      </c>
      <c r="E67" s="3" t="s">
        <v>92</v>
      </c>
      <c r="F67" s="3" t="s">
        <v>58</v>
      </c>
      <c r="G67" s="6">
        <v>7820</v>
      </c>
      <c r="H67" s="6">
        <v>0</v>
      </c>
      <c r="I67" s="6">
        <f t="shared" si="18"/>
        <v>7820</v>
      </c>
      <c r="J67" s="6">
        <v>7820</v>
      </c>
      <c r="K67" s="6">
        <v>0</v>
      </c>
      <c r="L67" s="6">
        <f t="shared" si="19"/>
        <v>7820</v>
      </c>
    </row>
    <row r="68" spans="1:12" ht="81.75" customHeight="1">
      <c r="A68" s="15" t="s">
        <v>231</v>
      </c>
      <c r="B68" s="3" t="s">
        <v>61</v>
      </c>
      <c r="C68" s="3" t="s">
        <v>54</v>
      </c>
      <c r="D68" s="3" t="s">
        <v>64</v>
      </c>
      <c r="E68" s="3" t="s">
        <v>232</v>
      </c>
      <c r="F68" s="3" t="s">
        <v>57</v>
      </c>
      <c r="G68" s="6">
        <v>0</v>
      </c>
      <c r="H68" s="6">
        <f>35475-325.16+2193.16</f>
        <v>37343</v>
      </c>
      <c r="I68" s="6">
        <f t="shared" si="18"/>
        <v>37343</v>
      </c>
      <c r="J68" s="6">
        <v>0</v>
      </c>
      <c r="K68" s="6">
        <f>35531-322.16+2193.16</f>
        <v>37402</v>
      </c>
      <c r="L68" s="6">
        <f t="shared" si="19"/>
        <v>37402</v>
      </c>
    </row>
    <row r="69" spans="1:12" s="9" customFormat="1" ht="15.75">
      <c r="A69" s="32" t="s">
        <v>154</v>
      </c>
      <c r="B69" s="28" t="s">
        <v>61</v>
      </c>
      <c r="C69" s="28" t="s">
        <v>54</v>
      </c>
      <c r="D69" s="28" t="s">
        <v>67</v>
      </c>
      <c r="E69" s="28" t="s">
        <v>187</v>
      </c>
      <c r="F69" s="28"/>
      <c r="G69" s="29">
        <f aca="true" t="shared" si="20" ref="G69:L69">SUM(G70:G73)</f>
        <v>2107809.4</v>
      </c>
      <c r="H69" s="29">
        <f t="shared" si="20"/>
        <v>0</v>
      </c>
      <c r="I69" s="29">
        <f t="shared" si="20"/>
        <v>2107809.4</v>
      </c>
      <c r="J69" s="29">
        <f t="shared" si="20"/>
        <v>2175658.4</v>
      </c>
      <c r="K69" s="29">
        <f t="shared" si="20"/>
        <v>0</v>
      </c>
      <c r="L69" s="29">
        <f t="shared" si="20"/>
        <v>2175658.4</v>
      </c>
    </row>
    <row r="70" spans="1:12" ht="49.5" customHeight="1">
      <c r="A70" s="15" t="s">
        <v>177</v>
      </c>
      <c r="B70" s="3" t="s">
        <v>61</v>
      </c>
      <c r="C70" s="3" t="s">
        <v>54</v>
      </c>
      <c r="D70" s="3" t="s">
        <v>67</v>
      </c>
      <c r="E70" s="3" t="s">
        <v>171</v>
      </c>
      <c r="F70" s="3" t="s">
        <v>57</v>
      </c>
      <c r="G70" s="6">
        <v>50151</v>
      </c>
      <c r="H70" s="6">
        <v>0</v>
      </c>
      <c r="I70" s="6">
        <f>G70+H70</f>
        <v>50151</v>
      </c>
      <c r="J70" s="6">
        <v>24000</v>
      </c>
      <c r="K70" s="6">
        <v>0</v>
      </c>
      <c r="L70" s="6">
        <f>J70+K70</f>
        <v>24000</v>
      </c>
    </row>
    <row r="71" spans="1:12" ht="83.25" customHeight="1">
      <c r="A71" s="16" t="s">
        <v>196</v>
      </c>
      <c r="B71" s="3" t="s">
        <v>61</v>
      </c>
      <c r="C71" s="3" t="s">
        <v>54</v>
      </c>
      <c r="D71" s="3" t="s">
        <v>67</v>
      </c>
      <c r="E71" s="3" t="s">
        <v>93</v>
      </c>
      <c r="F71" s="3" t="s">
        <v>56</v>
      </c>
      <c r="G71" s="6">
        <v>1812488.4</v>
      </c>
      <c r="H71" s="6">
        <v>0</v>
      </c>
      <c r="I71" s="6">
        <f>G71+H71</f>
        <v>1812488.4</v>
      </c>
      <c r="J71" s="6">
        <v>1812488.4</v>
      </c>
      <c r="K71" s="6">
        <v>0</v>
      </c>
      <c r="L71" s="6">
        <f>J71+K71</f>
        <v>1812488.4</v>
      </c>
    </row>
    <row r="72" spans="1:12" ht="47.25" customHeight="1">
      <c r="A72" s="15" t="s">
        <v>15</v>
      </c>
      <c r="B72" s="3" t="s">
        <v>61</v>
      </c>
      <c r="C72" s="3" t="s">
        <v>54</v>
      </c>
      <c r="D72" s="3" t="s">
        <v>67</v>
      </c>
      <c r="E72" s="3" t="s">
        <v>93</v>
      </c>
      <c r="F72" s="3" t="s">
        <v>57</v>
      </c>
      <c r="G72" s="6">
        <v>224100</v>
      </c>
      <c r="H72" s="6">
        <v>0</v>
      </c>
      <c r="I72" s="6">
        <f>G72+H72</f>
        <v>224100</v>
      </c>
      <c r="J72" s="6">
        <v>318100</v>
      </c>
      <c r="K72" s="6">
        <v>0</v>
      </c>
      <c r="L72" s="6">
        <f>J72+K72</f>
        <v>318100</v>
      </c>
    </row>
    <row r="73" spans="1:12" ht="36" customHeight="1">
      <c r="A73" s="16" t="s">
        <v>42</v>
      </c>
      <c r="B73" s="3" t="s">
        <v>61</v>
      </c>
      <c r="C73" s="3" t="s">
        <v>54</v>
      </c>
      <c r="D73" s="3" t="s">
        <v>67</v>
      </c>
      <c r="E73" s="3" t="s">
        <v>93</v>
      </c>
      <c r="F73" s="3" t="s">
        <v>58</v>
      </c>
      <c r="G73" s="6">
        <v>21070</v>
      </c>
      <c r="H73" s="6">
        <v>0</v>
      </c>
      <c r="I73" s="6">
        <f>G73+H73</f>
        <v>21070</v>
      </c>
      <c r="J73" s="6">
        <v>21070</v>
      </c>
      <c r="K73" s="6">
        <v>0</v>
      </c>
      <c r="L73" s="6">
        <f>J73+K73</f>
        <v>21070</v>
      </c>
    </row>
    <row r="74" spans="1:12" s="9" customFormat="1" ht="22.5" customHeight="1">
      <c r="A74" s="27" t="s">
        <v>155</v>
      </c>
      <c r="B74" s="28" t="s">
        <v>61</v>
      </c>
      <c r="C74" s="28" t="s">
        <v>54</v>
      </c>
      <c r="D74" s="28" t="s">
        <v>69</v>
      </c>
      <c r="E74" s="28" t="s">
        <v>187</v>
      </c>
      <c r="F74" s="28"/>
      <c r="G74" s="29">
        <f aca="true" t="shared" si="21" ref="G74:L74">SUM(G75:G75)</f>
        <v>103500</v>
      </c>
      <c r="H74" s="29">
        <f t="shared" si="21"/>
        <v>-103500</v>
      </c>
      <c r="I74" s="29">
        <f t="shared" si="21"/>
        <v>0</v>
      </c>
      <c r="J74" s="29">
        <f t="shared" si="21"/>
        <v>103500</v>
      </c>
      <c r="K74" s="29">
        <f t="shared" si="21"/>
        <v>-103500</v>
      </c>
      <c r="L74" s="29">
        <f t="shared" si="21"/>
        <v>0</v>
      </c>
    </row>
    <row r="75" spans="1:12" ht="94.5">
      <c r="A75" s="15" t="s">
        <v>16</v>
      </c>
      <c r="B75" s="3" t="s">
        <v>61</v>
      </c>
      <c r="C75" s="3" t="s">
        <v>54</v>
      </c>
      <c r="D75" s="3" t="s">
        <v>69</v>
      </c>
      <c r="E75" s="3" t="s">
        <v>94</v>
      </c>
      <c r="F75" s="3" t="s">
        <v>57</v>
      </c>
      <c r="G75" s="6">
        <v>103500</v>
      </c>
      <c r="H75" s="6">
        <v>-103500</v>
      </c>
      <c r="I75" s="6">
        <f>G75+H75</f>
        <v>0</v>
      </c>
      <c r="J75" s="6">
        <v>103500</v>
      </c>
      <c r="K75" s="6">
        <v>-103500</v>
      </c>
      <c r="L75" s="6">
        <f>J75+K75</f>
        <v>0</v>
      </c>
    </row>
    <row r="76" spans="1:12" s="9" customFormat="1" ht="47.25">
      <c r="A76" s="27" t="s">
        <v>156</v>
      </c>
      <c r="B76" s="28" t="s">
        <v>61</v>
      </c>
      <c r="C76" s="28" t="s">
        <v>54</v>
      </c>
      <c r="D76" s="28" t="s">
        <v>52</v>
      </c>
      <c r="E76" s="28" t="s">
        <v>187</v>
      </c>
      <c r="F76" s="28"/>
      <c r="G76" s="29">
        <f aca="true" t="shared" si="22" ref="G76:L76">SUM(G77:G77)</f>
        <v>1730387</v>
      </c>
      <c r="H76" s="29">
        <f t="shared" si="22"/>
        <v>-1580999</v>
      </c>
      <c r="I76" s="29">
        <f t="shared" si="22"/>
        <v>149388</v>
      </c>
      <c r="J76" s="29">
        <f t="shared" si="22"/>
        <v>1730387</v>
      </c>
      <c r="K76" s="29">
        <f t="shared" si="22"/>
        <v>-1580999</v>
      </c>
      <c r="L76" s="29">
        <f t="shared" si="22"/>
        <v>149388</v>
      </c>
    </row>
    <row r="77" spans="1:12" ht="110.25">
      <c r="A77" s="15" t="s">
        <v>36</v>
      </c>
      <c r="B77" s="3" t="s">
        <v>61</v>
      </c>
      <c r="C77" s="3" t="s">
        <v>54</v>
      </c>
      <c r="D77" s="3" t="s">
        <v>52</v>
      </c>
      <c r="E77" s="3" t="s">
        <v>95</v>
      </c>
      <c r="F77" s="3" t="s">
        <v>82</v>
      </c>
      <c r="G77" s="6">
        <v>1730387</v>
      </c>
      <c r="H77" s="6">
        <v>-1580999</v>
      </c>
      <c r="I77" s="6">
        <f>G77+H77</f>
        <v>149388</v>
      </c>
      <c r="J77" s="6">
        <v>1730387</v>
      </c>
      <c r="K77" s="6">
        <v>-1580999</v>
      </c>
      <c r="L77" s="6">
        <f>J77+K77</f>
        <v>149388</v>
      </c>
    </row>
    <row r="78" spans="1:12" s="11" customFormat="1" ht="75">
      <c r="A78" s="17" t="s">
        <v>157</v>
      </c>
      <c r="B78" s="19" t="s">
        <v>67</v>
      </c>
      <c r="C78" s="19" t="s">
        <v>54</v>
      </c>
      <c r="D78" s="19" t="s">
        <v>54</v>
      </c>
      <c r="E78" s="19" t="s">
        <v>187</v>
      </c>
      <c r="F78" s="19"/>
      <c r="G78" s="22">
        <f aca="true" t="shared" si="23" ref="G78:L78">G79+G83</f>
        <v>5673051</v>
      </c>
      <c r="H78" s="22">
        <f t="shared" si="23"/>
        <v>28050</v>
      </c>
      <c r="I78" s="22">
        <f t="shared" si="23"/>
        <v>5701101</v>
      </c>
      <c r="J78" s="22">
        <f t="shared" si="23"/>
        <v>5706389</v>
      </c>
      <c r="K78" s="22">
        <f t="shared" si="23"/>
        <v>28050</v>
      </c>
      <c r="L78" s="22">
        <f t="shared" si="23"/>
        <v>5734439</v>
      </c>
    </row>
    <row r="79" spans="1:12" s="9" customFormat="1" ht="47.25">
      <c r="A79" s="27" t="s">
        <v>158</v>
      </c>
      <c r="B79" s="28" t="s">
        <v>67</v>
      </c>
      <c r="C79" s="28" t="s">
        <v>54</v>
      </c>
      <c r="D79" s="28" t="s">
        <v>53</v>
      </c>
      <c r="E79" s="28" t="s">
        <v>187</v>
      </c>
      <c r="F79" s="28"/>
      <c r="G79" s="29">
        <f aca="true" t="shared" si="24" ref="G79:L79">SUM(G80:G82)</f>
        <v>5151101</v>
      </c>
      <c r="H79" s="29">
        <f t="shared" si="24"/>
        <v>0</v>
      </c>
      <c r="I79" s="29">
        <f t="shared" si="24"/>
        <v>5151101</v>
      </c>
      <c r="J79" s="29">
        <f t="shared" si="24"/>
        <v>5184439</v>
      </c>
      <c r="K79" s="29">
        <f t="shared" si="24"/>
        <v>0</v>
      </c>
      <c r="L79" s="29">
        <f t="shared" si="24"/>
        <v>5184439</v>
      </c>
    </row>
    <row r="80" spans="1:12" ht="63" customHeight="1">
      <c r="A80" s="15" t="s">
        <v>178</v>
      </c>
      <c r="B80" s="3" t="s">
        <v>67</v>
      </c>
      <c r="C80" s="3" t="s">
        <v>54</v>
      </c>
      <c r="D80" s="3" t="s">
        <v>53</v>
      </c>
      <c r="E80" s="3" t="s">
        <v>171</v>
      </c>
      <c r="F80" s="3" t="s">
        <v>82</v>
      </c>
      <c r="G80" s="6">
        <v>39123</v>
      </c>
      <c r="H80" s="6">
        <v>0</v>
      </c>
      <c r="I80" s="6">
        <f>G80+H80</f>
        <v>39123</v>
      </c>
      <c r="J80" s="6">
        <v>39123</v>
      </c>
      <c r="K80" s="6">
        <v>0</v>
      </c>
      <c r="L80" s="6">
        <f>J80+K80</f>
        <v>39123</v>
      </c>
    </row>
    <row r="81" spans="1:12" ht="68.25" customHeight="1">
      <c r="A81" s="15" t="s">
        <v>180</v>
      </c>
      <c r="B81" s="3" t="s">
        <v>67</v>
      </c>
      <c r="C81" s="3" t="s">
        <v>54</v>
      </c>
      <c r="D81" s="3" t="s">
        <v>53</v>
      </c>
      <c r="E81" s="3" t="s">
        <v>172</v>
      </c>
      <c r="F81" s="3" t="s">
        <v>82</v>
      </c>
      <c r="G81" s="6">
        <v>23052</v>
      </c>
      <c r="H81" s="6">
        <v>0</v>
      </c>
      <c r="I81" s="6">
        <f>G81+H81</f>
        <v>23052</v>
      </c>
      <c r="J81" s="6">
        <v>19252</v>
      </c>
      <c r="K81" s="6">
        <v>0</v>
      </c>
      <c r="L81" s="6">
        <f>J81+K81</f>
        <v>19252</v>
      </c>
    </row>
    <row r="82" spans="1:12" ht="65.25" customHeight="1">
      <c r="A82" s="15" t="s">
        <v>174</v>
      </c>
      <c r="B82" s="3" t="s">
        <v>67</v>
      </c>
      <c r="C82" s="3" t="s">
        <v>54</v>
      </c>
      <c r="D82" s="3" t="s">
        <v>53</v>
      </c>
      <c r="E82" s="3" t="s">
        <v>96</v>
      </c>
      <c r="F82" s="3" t="s">
        <v>82</v>
      </c>
      <c r="G82" s="6">
        <v>5088926</v>
      </c>
      <c r="H82" s="6">
        <v>0</v>
      </c>
      <c r="I82" s="6">
        <f>G82+H82</f>
        <v>5088926</v>
      </c>
      <c r="J82" s="6">
        <v>5126064</v>
      </c>
      <c r="K82" s="6">
        <v>0</v>
      </c>
      <c r="L82" s="6">
        <f>J82+K82</f>
        <v>5126064</v>
      </c>
    </row>
    <row r="83" spans="1:12" s="9" customFormat="1" ht="47.25">
      <c r="A83" s="27" t="s">
        <v>159</v>
      </c>
      <c r="B83" s="28" t="s">
        <v>67</v>
      </c>
      <c r="C83" s="28" t="s">
        <v>54</v>
      </c>
      <c r="D83" s="28" t="s">
        <v>61</v>
      </c>
      <c r="E83" s="28" t="s">
        <v>187</v>
      </c>
      <c r="F83" s="28"/>
      <c r="G83" s="29">
        <f aca="true" t="shared" si="25" ref="G83:L83">SUM(G84:G85)</f>
        <v>521950</v>
      </c>
      <c r="H83" s="29">
        <f t="shared" si="25"/>
        <v>28050</v>
      </c>
      <c r="I83" s="29">
        <f t="shared" si="25"/>
        <v>550000</v>
      </c>
      <c r="J83" s="29">
        <f t="shared" si="25"/>
        <v>521950</v>
      </c>
      <c r="K83" s="29">
        <f t="shared" si="25"/>
        <v>28050</v>
      </c>
      <c r="L83" s="29">
        <f t="shared" si="25"/>
        <v>550000</v>
      </c>
    </row>
    <row r="84" spans="1:12" ht="126">
      <c r="A84" s="15" t="s">
        <v>8</v>
      </c>
      <c r="B84" s="3" t="s">
        <v>67</v>
      </c>
      <c r="C84" s="3" t="s">
        <v>54</v>
      </c>
      <c r="D84" s="3" t="s">
        <v>61</v>
      </c>
      <c r="E84" s="3" t="s">
        <v>98</v>
      </c>
      <c r="F84" s="3" t="s">
        <v>82</v>
      </c>
      <c r="G84" s="6">
        <v>138850</v>
      </c>
      <c r="H84" s="6">
        <v>0</v>
      </c>
      <c r="I84" s="6">
        <f>G84+H84</f>
        <v>138850</v>
      </c>
      <c r="J84" s="6">
        <v>138850</v>
      </c>
      <c r="K84" s="6">
        <v>0</v>
      </c>
      <c r="L84" s="6">
        <f>J84+K84</f>
        <v>138850</v>
      </c>
    </row>
    <row r="85" spans="1:12" ht="94.5">
      <c r="A85" s="15" t="s">
        <v>9</v>
      </c>
      <c r="B85" s="3" t="s">
        <v>67</v>
      </c>
      <c r="C85" s="3" t="s">
        <v>54</v>
      </c>
      <c r="D85" s="3" t="s">
        <v>61</v>
      </c>
      <c r="E85" s="3" t="s">
        <v>99</v>
      </c>
      <c r="F85" s="3" t="s">
        <v>82</v>
      </c>
      <c r="G85" s="6">
        <v>383100</v>
      </c>
      <c r="H85" s="6">
        <v>28050</v>
      </c>
      <c r="I85" s="6">
        <f>G85+H85</f>
        <v>411150</v>
      </c>
      <c r="J85" s="6">
        <v>383100</v>
      </c>
      <c r="K85" s="6">
        <v>28050</v>
      </c>
      <c r="L85" s="6">
        <f>J85+K85</f>
        <v>411150</v>
      </c>
    </row>
    <row r="86" spans="1:12" s="10" customFormat="1" ht="75">
      <c r="A86" s="17" t="s">
        <v>160</v>
      </c>
      <c r="B86" s="19" t="s">
        <v>78</v>
      </c>
      <c r="C86" s="19" t="s">
        <v>54</v>
      </c>
      <c r="D86" s="19" t="s">
        <v>135</v>
      </c>
      <c r="E86" s="19" t="s">
        <v>187</v>
      </c>
      <c r="F86" s="19"/>
      <c r="G86" s="22">
        <f aca="true" t="shared" si="26" ref="G86:L86">G87+G111</f>
        <v>40612827.199999996</v>
      </c>
      <c r="H86" s="22">
        <f t="shared" si="26"/>
        <v>34336</v>
      </c>
      <c r="I86" s="22">
        <f t="shared" si="26"/>
        <v>40647163.199999996</v>
      </c>
      <c r="J86" s="22">
        <f t="shared" si="26"/>
        <v>39205021.3</v>
      </c>
      <c r="K86" s="22">
        <f t="shared" si="26"/>
        <v>34336</v>
      </c>
      <c r="L86" s="22">
        <f t="shared" si="26"/>
        <v>39239357.3</v>
      </c>
    </row>
    <row r="87" spans="1:12" s="9" customFormat="1" ht="47.25">
      <c r="A87" s="27" t="s">
        <v>161</v>
      </c>
      <c r="B87" s="28" t="s">
        <v>78</v>
      </c>
      <c r="C87" s="28" t="s">
        <v>54</v>
      </c>
      <c r="D87" s="28" t="s">
        <v>53</v>
      </c>
      <c r="E87" s="28" t="s">
        <v>187</v>
      </c>
      <c r="F87" s="28"/>
      <c r="G87" s="29">
        <f aca="true" t="shared" si="27" ref="G87:L87">SUM(G88:G110)</f>
        <v>40511757.3</v>
      </c>
      <c r="H87" s="29">
        <f t="shared" si="27"/>
        <v>34336</v>
      </c>
      <c r="I87" s="29">
        <f t="shared" si="27"/>
        <v>40546093.3</v>
      </c>
      <c r="J87" s="29">
        <f t="shared" si="27"/>
        <v>39105021.3</v>
      </c>
      <c r="K87" s="29">
        <f t="shared" si="27"/>
        <v>34336</v>
      </c>
      <c r="L87" s="29">
        <f t="shared" si="27"/>
        <v>39139357.3</v>
      </c>
    </row>
    <row r="88" spans="1:12" ht="81.75" customHeight="1">
      <c r="A88" s="15" t="s">
        <v>197</v>
      </c>
      <c r="B88" s="3" t="s">
        <v>78</v>
      </c>
      <c r="C88" s="3" t="s">
        <v>54</v>
      </c>
      <c r="D88" s="3" t="s">
        <v>53</v>
      </c>
      <c r="E88" s="3" t="s">
        <v>100</v>
      </c>
      <c r="F88" s="3" t="s">
        <v>56</v>
      </c>
      <c r="G88" s="34">
        <v>1461370</v>
      </c>
      <c r="H88" s="6">
        <v>0</v>
      </c>
      <c r="I88" s="6">
        <f aca="true" t="shared" si="28" ref="I88:I110">G88+H88</f>
        <v>1461370</v>
      </c>
      <c r="J88" s="6">
        <v>1461370</v>
      </c>
      <c r="K88" s="6">
        <v>0</v>
      </c>
      <c r="L88" s="6">
        <f aca="true" t="shared" si="29" ref="L88:L110">J88+K88</f>
        <v>1461370</v>
      </c>
    </row>
    <row r="89" spans="1:12" ht="96" customHeight="1">
      <c r="A89" s="15" t="s">
        <v>198</v>
      </c>
      <c r="B89" s="3" t="s">
        <v>78</v>
      </c>
      <c r="C89" s="3" t="s">
        <v>54</v>
      </c>
      <c r="D89" s="3" t="s">
        <v>53</v>
      </c>
      <c r="E89" s="3" t="s">
        <v>101</v>
      </c>
      <c r="F89" s="3" t="s">
        <v>56</v>
      </c>
      <c r="G89" s="34">
        <f>1973827+2497063+5307364+4462380+16283341-320000</f>
        <v>30203975</v>
      </c>
      <c r="H89" s="6">
        <v>0</v>
      </c>
      <c r="I89" s="6">
        <f t="shared" si="28"/>
        <v>30203975</v>
      </c>
      <c r="J89" s="6">
        <f>1973827+2497063+5307364+4462380+16283341-2100000</f>
        <v>28423975</v>
      </c>
      <c r="K89" s="6">
        <v>0</v>
      </c>
      <c r="L89" s="6">
        <f t="shared" si="29"/>
        <v>28423975</v>
      </c>
    </row>
    <row r="90" spans="1:12" ht="63.75" customHeight="1">
      <c r="A90" s="15" t="s">
        <v>17</v>
      </c>
      <c r="B90" s="3" t="s">
        <v>78</v>
      </c>
      <c r="C90" s="3" t="s">
        <v>54</v>
      </c>
      <c r="D90" s="3" t="s">
        <v>53</v>
      </c>
      <c r="E90" s="3" t="s">
        <v>101</v>
      </c>
      <c r="F90" s="3" t="s">
        <v>57</v>
      </c>
      <c r="G90" s="34">
        <f>23507+25000+36795+37047+368344</f>
        <v>490693</v>
      </c>
      <c r="H90" s="6">
        <v>0</v>
      </c>
      <c r="I90" s="6">
        <f t="shared" si="28"/>
        <v>490693</v>
      </c>
      <c r="J90" s="6">
        <f>23507+25000+36795+37047+368344</f>
        <v>490693</v>
      </c>
      <c r="K90" s="6">
        <v>0</v>
      </c>
      <c r="L90" s="6">
        <f t="shared" si="29"/>
        <v>490693</v>
      </c>
    </row>
    <row r="91" spans="1:12" ht="49.5" customHeight="1">
      <c r="A91" s="15" t="s">
        <v>43</v>
      </c>
      <c r="B91" s="3" t="s">
        <v>78</v>
      </c>
      <c r="C91" s="3" t="s">
        <v>54</v>
      </c>
      <c r="D91" s="3" t="s">
        <v>53</v>
      </c>
      <c r="E91" s="3" t="s">
        <v>101</v>
      </c>
      <c r="F91" s="3" t="s">
        <v>58</v>
      </c>
      <c r="G91" s="34">
        <f>17300+7944</f>
        <v>25244</v>
      </c>
      <c r="H91" s="6">
        <v>0</v>
      </c>
      <c r="I91" s="6">
        <f t="shared" si="28"/>
        <v>25244</v>
      </c>
      <c r="J91" s="6">
        <f>17300+7944</f>
        <v>25244</v>
      </c>
      <c r="K91" s="6">
        <v>0</v>
      </c>
      <c r="L91" s="6">
        <f t="shared" si="29"/>
        <v>25244</v>
      </c>
    </row>
    <row r="92" spans="1:12" ht="96.75" customHeight="1">
      <c r="A92" s="15" t="s">
        <v>199</v>
      </c>
      <c r="B92" s="3" t="s">
        <v>78</v>
      </c>
      <c r="C92" s="3" t="s">
        <v>54</v>
      </c>
      <c r="D92" s="3" t="s">
        <v>53</v>
      </c>
      <c r="E92" s="3" t="s">
        <v>103</v>
      </c>
      <c r="F92" s="3" t="s">
        <v>56</v>
      </c>
      <c r="G92" s="6">
        <v>5820052.3</v>
      </c>
      <c r="H92" s="6">
        <v>0</v>
      </c>
      <c r="I92" s="6">
        <f t="shared" si="28"/>
        <v>5820052.3</v>
      </c>
      <c r="J92" s="6">
        <v>5820052.3</v>
      </c>
      <c r="K92" s="6">
        <v>0</v>
      </c>
      <c r="L92" s="6">
        <f t="shared" si="29"/>
        <v>5820052.3</v>
      </c>
    </row>
    <row r="93" spans="1:12" ht="49.5" customHeight="1">
      <c r="A93" s="15" t="s">
        <v>18</v>
      </c>
      <c r="B93" s="3" t="s">
        <v>78</v>
      </c>
      <c r="C93" s="3" t="s">
        <v>54</v>
      </c>
      <c r="D93" s="3" t="s">
        <v>53</v>
      </c>
      <c r="E93" s="3" t="s">
        <v>103</v>
      </c>
      <c r="F93" s="3" t="s">
        <v>57</v>
      </c>
      <c r="G93" s="6">
        <v>2084596</v>
      </c>
      <c r="H93" s="6">
        <v>0</v>
      </c>
      <c r="I93" s="6">
        <f t="shared" si="28"/>
        <v>2084596</v>
      </c>
      <c r="J93" s="6">
        <v>2457860</v>
      </c>
      <c r="K93" s="6">
        <v>0</v>
      </c>
      <c r="L93" s="6">
        <f t="shared" si="29"/>
        <v>2457860</v>
      </c>
    </row>
    <row r="94" spans="1:19" ht="48.75" customHeight="1">
      <c r="A94" s="15" t="s">
        <v>44</v>
      </c>
      <c r="B94" s="3" t="s">
        <v>78</v>
      </c>
      <c r="C94" s="3" t="s">
        <v>54</v>
      </c>
      <c r="D94" s="3" t="s">
        <v>53</v>
      </c>
      <c r="E94" s="3" t="s">
        <v>103</v>
      </c>
      <c r="F94" s="3" t="s">
        <v>58</v>
      </c>
      <c r="G94" s="6">
        <v>109600</v>
      </c>
      <c r="H94" s="6">
        <v>0</v>
      </c>
      <c r="I94" s="6">
        <f t="shared" si="28"/>
        <v>109600</v>
      </c>
      <c r="J94" s="6">
        <v>109600</v>
      </c>
      <c r="K94" s="6">
        <v>0</v>
      </c>
      <c r="L94" s="6">
        <f t="shared" si="29"/>
        <v>109600</v>
      </c>
      <c r="Q94" s="7"/>
      <c r="R94" s="7"/>
      <c r="S94" s="7"/>
    </row>
    <row r="95" spans="1:12" ht="110.25">
      <c r="A95" s="15" t="s">
        <v>204</v>
      </c>
      <c r="B95" s="3" t="s">
        <v>78</v>
      </c>
      <c r="C95" s="3" t="s">
        <v>54</v>
      </c>
      <c r="D95" s="3" t="s">
        <v>53</v>
      </c>
      <c r="E95" s="3" t="s">
        <v>104</v>
      </c>
      <c r="F95" s="3" t="s">
        <v>56</v>
      </c>
      <c r="G95" s="6">
        <v>15063</v>
      </c>
      <c r="H95" s="6">
        <f>602+181</f>
        <v>783</v>
      </c>
      <c r="I95" s="6">
        <f t="shared" si="28"/>
        <v>15846</v>
      </c>
      <c r="J95" s="6">
        <v>15063</v>
      </c>
      <c r="K95" s="6">
        <v>783</v>
      </c>
      <c r="L95" s="6">
        <f t="shared" si="29"/>
        <v>15846</v>
      </c>
    </row>
    <row r="96" spans="1:12" ht="110.25">
      <c r="A96" s="15" t="s">
        <v>205</v>
      </c>
      <c r="B96" s="3" t="s">
        <v>78</v>
      </c>
      <c r="C96" s="3" t="s">
        <v>54</v>
      </c>
      <c r="D96" s="3" t="s">
        <v>53</v>
      </c>
      <c r="E96" s="3" t="s">
        <v>105</v>
      </c>
      <c r="F96" s="3" t="s">
        <v>56</v>
      </c>
      <c r="G96" s="6">
        <v>36800</v>
      </c>
      <c r="H96" s="6">
        <f>5684+1716</f>
        <v>7400</v>
      </c>
      <c r="I96" s="6">
        <f t="shared" si="28"/>
        <v>44200</v>
      </c>
      <c r="J96" s="6">
        <v>36800</v>
      </c>
      <c r="K96" s="6">
        <v>7400</v>
      </c>
      <c r="L96" s="6">
        <f t="shared" si="29"/>
        <v>44200</v>
      </c>
    </row>
    <row r="97" spans="1:12" ht="110.25">
      <c r="A97" s="15" t="s">
        <v>206</v>
      </c>
      <c r="B97" s="3" t="s">
        <v>78</v>
      </c>
      <c r="C97" s="3" t="s">
        <v>54</v>
      </c>
      <c r="D97" s="3" t="s">
        <v>53</v>
      </c>
      <c r="E97" s="3" t="s">
        <v>106</v>
      </c>
      <c r="F97" s="3" t="s">
        <v>56</v>
      </c>
      <c r="G97" s="6">
        <v>13352</v>
      </c>
      <c r="H97" s="6">
        <f>534+161</f>
        <v>695</v>
      </c>
      <c r="I97" s="6">
        <f t="shared" si="28"/>
        <v>14047</v>
      </c>
      <c r="J97" s="6">
        <v>13352</v>
      </c>
      <c r="K97" s="6">
        <v>695</v>
      </c>
      <c r="L97" s="6">
        <f t="shared" si="29"/>
        <v>14047</v>
      </c>
    </row>
    <row r="98" spans="1:12" ht="110.25">
      <c r="A98" s="15" t="s">
        <v>207</v>
      </c>
      <c r="B98" s="3" t="s">
        <v>78</v>
      </c>
      <c r="C98" s="3" t="s">
        <v>54</v>
      </c>
      <c r="D98" s="3" t="s">
        <v>53</v>
      </c>
      <c r="E98" s="3" t="s">
        <v>107</v>
      </c>
      <c r="F98" s="3" t="s">
        <v>56</v>
      </c>
      <c r="G98" s="6">
        <v>25909</v>
      </c>
      <c r="H98" s="6">
        <f>1035+312</f>
        <v>1347</v>
      </c>
      <c r="I98" s="6">
        <f t="shared" si="28"/>
        <v>27256</v>
      </c>
      <c r="J98" s="6">
        <v>25909</v>
      </c>
      <c r="K98" s="6">
        <v>1347</v>
      </c>
      <c r="L98" s="6">
        <f t="shared" si="29"/>
        <v>27256</v>
      </c>
    </row>
    <row r="99" spans="1:12" ht="129" customHeight="1">
      <c r="A99" s="15" t="s">
        <v>208</v>
      </c>
      <c r="B99" s="3" t="s">
        <v>78</v>
      </c>
      <c r="C99" s="3" t="s">
        <v>54</v>
      </c>
      <c r="D99" s="3" t="s">
        <v>53</v>
      </c>
      <c r="E99" s="3" t="s">
        <v>48</v>
      </c>
      <c r="F99" s="3" t="s">
        <v>56</v>
      </c>
      <c r="G99" s="6">
        <v>14413</v>
      </c>
      <c r="H99" s="6">
        <f>575+174</f>
        <v>749</v>
      </c>
      <c r="I99" s="6">
        <f t="shared" si="28"/>
        <v>15162</v>
      </c>
      <c r="J99" s="6">
        <v>14413</v>
      </c>
      <c r="K99" s="6">
        <v>749</v>
      </c>
      <c r="L99" s="6">
        <f t="shared" si="29"/>
        <v>15162</v>
      </c>
    </row>
    <row r="100" spans="1:12" ht="124.5" customHeight="1">
      <c r="A100" s="15" t="s">
        <v>209</v>
      </c>
      <c r="B100" s="3" t="s">
        <v>78</v>
      </c>
      <c r="C100" s="3" t="s">
        <v>54</v>
      </c>
      <c r="D100" s="3" t="s">
        <v>53</v>
      </c>
      <c r="E100" s="3" t="s">
        <v>108</v>
      </c>
      <c r="F100" s="3" t="s">
        <v>56</v>
      </c>
      <c r="G100" s="6">
        <v>14500</v>
      </c>
      <c r="H100" s="6">
        <f>2227+673</f>
        <v>2900</v>
      </c>
      <c r="I100" s="6">
        <f t="shared" si="28"/>
        <v>17400</v>
      </c>
      <c r="J100" s="6">
        <v>14500</v>
      </c>
      <c r="K100" s="6">
        <v>2900</v>
      </c>
      <c r="L100" s="6">
        <f t="shared" si="29"/>
        <v>17400</v>
      </c>
    </row>
    <row r="101" spans="1:12" ht="126">
      <c r="A101" s="15" t="s">
        <v>210</v>
      </c>
      <c r="B101" s="3" t="s">
        <v>78</v>
      </c>
      <c r="C101" s="3" t="s">
        <v>54</v>
      </c>
      <c r="D101" s="3" t="s">
        <v>53</v>
      </c>
      <c r="E101" s="3" t="s">
        <v>109</v>
      </c>
      <c r="F101" s="3" t="s">
        <v>56</v>
      </c>
      <c r="G101" s="6">
        <v>14370</v>
      </c>
      <c r="H101" s="6">
        <f>574+174</f>
        <v>748</v>
      </c>
      <c r="I101" s="6">
        <f t="shared" si="28"/>
        <v>15118</v>
      </c>
      <c r="J101" s="6">
        <v>14370</v>
      </c>
      <c r="K101" s="6">
        <v>748</v>
      </c>
      <c r="L101" s="6">
        <f t="shared" si="29"/>
        <v>15118</v>
      </c>
    </row>
    <row r="102" spans="1:12" ht="126">
      <c r="A102" s="15" t="s">
        <v>211</v>
      </c>
      <c r="B102" s="3" t="s">
        <v>78</v>
      </c>
      <c r="C102" s="3" t="s">
        <v>54</v>
      </c>
      <c r="D102" s="3" t="s">
        <v>53</v>
      </c>
      <c r="E102" s="3" t="s">
        <v>110</v>
      </c>
      <c r="F102" s="3" t="s">
        <v>56</v>
      </c>
      <c r="G102" s="6">
        <v>14687</v>
      </c>
      <c r="H102" s="6">
        <f>587+177</f>
        <v>764</v>
      </c>
      <c r="I102" s="6">
        <f t="shared" si="28"/>
        <v>15451</v>
      </c>
      <c r="J102" s="6">
        <v>14687</v>
      </c>
      <c r="K102" s="6">
        <v>764</v>
      </c>
      <c r="L102" s="6">
        <f t="shared" si="29"/>
        <v>15451</v>
      </c>
    </row>
    <row r="103" spans="1:12" ht="126">
      <c r="A103" s="15" t="s">
        <v>212</v>
      </c>
      <c r="B103" s="3" t="s">
        <v>78</v>
      </c>
      <c r="C103" s="3" t="s">
        <v>54</v>
      </c>
      <c r="D103" s="3" t="s">
        <v>53</v>
      </c>
      <c r="E103" s="3" t="s">
        <v>111</v>
      </c>
      <c r="F103" s="3" t="s">
        <v>56</v>
      </c>
      <c r="G103" s="6">
        <v>18314</v>
      </c>
      <c r="H103" s="6">
        <f>731+221</f>
        <v>952</v>
      </c>
      <c r="I103" s="6">
        <f t="shared" si="28"/>
        <v>19266</v>
      </c>
      <c r="J103" s="6">
        <v>18314</v>
      </c>
      <c r="K103" s="6">
        <v>952</v>
      </c>
      <c r="L103" s="6">
        <f t="shared" si="29"/>
        <v>19266</v>
      </c>
    </row>
    <row r="104" spans="1:12" ht="126">
      <c r="A104" s="15" t="s">
        <v>213</v>
      </c>
      <c r="B104" s="3" t="s">
        <v>78</v>
      </c>
      <c r="C104" s="3" t="s">
        <v>54</v>
      </c>
      <c r="D104" s="3" t="s">
        <v>53</v>
      </c>
      <c r="E104" s="3" t="s">
        <v>112</v>
      </c>
      <c r="F104" s="3" t="s">
        <v>56</v>
      </c>
      <c r="G104" s="6">
        <v>45000</v>
      </c>
      <c r="H104" s="6">
        <f>6989+2111</f>
        <v>9100</v>
      </c>
      <c r="I104" s="6">
        <f t="shared" si="28"/>
        <v>54100</v>
      </c>
      <c r="J104" s="6">
        <v>45000</v>
      </c>
      <c r="K104" s="6">
        <v>9100</v>
      </c>
      <c r="L104" s="6">
        <f t="shared" si="29"/>
        <v>54100</v>
      </c>
    </row>
    <row r="105" spans="1:12" ht="126">
      <c r="A105" s="15" t="s">
        <v>214</v>
      </c>
      <c r="B105" s="3" t="s">
        <v>78</v>
      </c>
      <c r="C105" s="3" t="s">
        <v>54</v>
      </c>
      <c r="D105" s="3" t="s">
        <v>53</v>
      </c>
      <c r="E105" s="3" t="s">
        <v>113</v>
      </c>
      <c r="F105" s="3" t="s">
        <v>56</v>
      </c>
      <c r="G105" s="6">
        <v>16181</v>
      </c>
      <c r="H105" s="6">
        <f>647+195</f>
        <v>842</v>
      </c>
      <c r="I105" s="6">
        <f t="shared" si="28"/>
        <v>17023</v>
      </c>
      <c r="J105" s="6">
        <v>16181</v>
      </c>
      <c r="K105" s="6">
        <v>842</v>
      </c>
      <c r="L105" s="6">
        <f t="shared" si="29"/>
        <v>17023</v>
      </c>
    </row>
    <row r="106" spans="1:12" ht="126">
      <c r="A106" s="15" t="s">
        <v>215</v>
      </c>
      <c r="B106" s="3" t="s">
        <v>78</v>
      </c>
      <c r="C106" s="3" t="s">
        <v>54</v>
      </c>
      <c r="D106" s="3" t="s">
        <v>53</v>
      </c>
      <c r="E106" s="3" t="s">
        <v>203</v>
      </c>
      <c r="F106" s="3" t="s">
        <v>56</v>
      </c>
      <c r="G106" s="6">
        <v>31565</v>
      </c>
      <c r="H106" s="6">
        <f>1261+380</f>
        <v>1641</v>
      </c>
      <c r="I106" s="6">
        <f t="shared" si="28"/>
        <v>33206</v>
      </c>
      <c r="J106" s="6">
        <v>31565</v>
      </c>
      <c r="K106" s="6">
        <v>1641</v>
      </c>
      <c r="L106" s="6">
        <f t="shared" si="29"/>
        <v>33206</v>
      </c>
    </row>
    <row r="107" spans="1:12" ht="126">
      <c r="A107" s="15" t="s">
        <v>216</v>
      </c>
      <c r="B107" s="3" t="s">
        <v>78</v>
      </c>
      <c r="C107" s="3" t="s">
        <v>54</v>
      </c>
      <c r="D107" s="3" t="s">
        <v>53</v>
      </c>
      <c r="E107" s="3" t="s">
        <v>114</v>
      </c>
      <c r="F107" s="3" t="s">
        <v>56</v>
      </c>
      <c r="G107" s="6">
        <v>9103</v>
      </c>
      <c r="H107" s="6">
        <f>363+109+1</f>
        <v>473</v>
      </c>
      <c r="I107" s="6">
        <f t="shared" si="28"/>
        <v>9576</v>
      </c>
      <c r="J107" s="6">
        <v>9103</v>
      </c>
      <c r="K107" s="6">
        <v>473</v>
      </c>
      <c r="L107" s="6">
        <f t="shared" si="29"/>
        <v>9576</v>
      </c>
    </row>
    <row r="108" spans="1:12" ht="126">
      <c r="A108" s="15" t="s">
        <v>217</v>
      </c>
      <c r="B108" s="3" t="s">
        <v>78</v>
      </c>
      <c r="C108" s="3" t="s">
        <v>54</v>
      </c>
      <c r="D108" s="3" t="s">
        <v>53</v>
      </c>
      <c r="E108" s="3" t="s">
        <v>115</v>
      </c>
      <c r="F108" s="3" t="s">
        <v>56</v>
      </c>
      <c r="G108" s="6">
        <v>23100</v>
      </c>
      <c r="H108" s="6">
        <f>3610+1090</f>
        <v>4700</v>
      </c>
      <c r="I108" s="6">
        <f t="shared" si="28"/>
        <v>27800</v>
      </c>
      <c r="J108" s="6">
        <v>23100</v>
      </c>
      <c r="K108" s="6">
        <v>4700</v>
      </c>
      <c r="L108" s="6">
        <f t="shared" si="29"/>
        <v>27800</v>
      </c>
    </row>
    <row r="109" spans="1:12" ht="126">
      <c r="A109" s="15" t="s">
        <v>218</v>
      </c>
      <c r="B109" s="3" t="s">
        <v>78</v>
      </c>
      <c r="C109" s="3" t="s">
        <v>54</v>
      </c>
      <c r="D109" s="3" t="s">
        <v>53</v>
      </c>
      <c r="E109" s="3" t="s">
        <v>116</v>
      </c>
      <c r="F109" s="3" t="s">
        <v>56</v>
      </c>
      <c r="G109" s="6">
        <v>8031</v>
      </c>
      <c r="H109" s="6">
        <f>321+97</f>
        <v>418</v>
      </c>
      <c r="I109" s="6">
        <f t="shared" si="28"/>
        <v>8449</v>
      </c>
      <c r="J109" s="6">
        <v>8031</v>
      </c>
      <c r="K109" s="6">
        <v>418</v>
      </c>
      <c r="L109" s="6">
        <f t="shared" si="29"/>
        <v>8449</v>
      </c>
    </row>
    <row r="110" spans="1:12" ht="126">
      <c r="A110" s="15" t="s">
        <v>219</v>
      </c>
      <c r="B110" s="3" t="s">
        <v>78</v>
      </c>
      <c r="C110" s="3" t="s">
        <v>54</v>
      </c>
      <c r="D110" s="3" t="s">
        <v>53</v>
      </c>
      <c r="E110" s="3" t="s">
        <v>117</v>
      </c>
      <c r="F110" s="3" t="s">
        <v>56</v>
      </c>
      <c r="G110" s="6">
        <v>15839</v>
      </c>
      <c r="H110" s="6">
        <f>633+191</f>
        <v>824</v>
      </c>
      <c r="I110" s="6">
        <f t="shared" si="28"/>
        <v>16663</v>
      </c>
      <c r="J110" s="6">
        <v>15839</v>
      </c>
      <c r="K110" s="6">
        <v>824</v>
      </c>
      <c r="L110" s="6">
        <f t="shared" si="29"/>
        <v>16663</v>
      </c>
    </row>
    <row r="111" spans="1:12" s="9" customFormat="1" ht="47.25">
      <c r="A111" s="27" t="s">
        <v>162</v>
      </c>
      <c r="B111" s="28" t="s">
        <v>78</v>
      </c>
      <c r="C111" s="28" t="s">
        <v>54</v>
      </c>
      <c r="D111" s="28" t="s">
        <v>67</v>
      </c>
      <c r="E111" s="28" t="s">
        <v>187</v>
      </c>
      <c r="F111" s="28"/>
      <c r="G111" s="29">
        <f aca="true" t="shared" si="30" ref="G111:L111">SUM(G112:G113)</f>
        <v>101069.9</v>
      </c>
      <c r="H111" s="29">
        <f t="shared" si="30"/>
        <v>0</v>
      </c>
      <c r="I111" s="29">
        <f t="shared" si="30"/>
        <v>101069.9</v>
      </c>
      <c r="J111" s="29">
        <f t="shared" si="30"/>
        <v>100000</v>
      </c>
      <c r="K111" s="29">
        <f t="shared" si="30"/>
        <v>0</v>
      </c>
      <c r="L111" s="29">
        <f t="shared" si="30"/>
        <v>100000</v>
      </c>
    </row>
    <row r="112" spans="1:12" ht="31.5" customHeight="1">
      <c r="A112" s="15" t="s">
        <v>45</v>
      </c>
      <c r="B112" s="3" t="s">
        <v>78</v>
      </c>
      <c r="C112" s="3" t="s">
        <v>54</v>
      </c>
      <c r="D112" s="3" t="s">
        <v>67</v>
      </c>
      <c r="E112" s="3" t="s">
        <v>118</v>
      </c>
      <c r="F112" s="3" t="s">
        <v>58</v>
      </c>
      <c r="G112" s="6">
        <v>100000</v>
      </c>
      <c r="H112" s="6">
        <v>0</v>
      </c>
      <c r="I112" s="6">
        <f>G112+H112</f>
        <v>100000</v>
      </c>
      <c r="J112" s="6">
        <v>100000</v>
      </c>
      <c r="K112" s="6">
        <v>0</v>
      </c>
      <c r="L112" s="6">
        <f>J112+K112</f>
        <v>100000</v>
      </c>
    </row>
    <row r="113" spans="1:12" ht="33" customHeight="1">
      <c r="A113" s="15" t="s">
        <v>37</v>
      </c>
      <c r="B113" s="3" t="s">
        <v>78</v>
      </c>
      <c r="C113" s="3" t="s">
        <v>54</v>
      </c>
      <c r="D113" s="3" t="s">
        <v>67</v>
      </c>
      <c r="E113" s="3" t="s">
        <v>119</v>
      </c>
      <c r="F113" s="3" t="s">
        <v>120</v>
      </c>
      <c r="G113" s="6">
        <v>1069.9</v>
      </c>
      <c r="H113" s="6">
        <v>0</v>
      </c>
      <c r="I113" s="6">
        <f>G113+H113</f>
        <v>1069.9</v>
      </c>
      <c r="J113" s="6">
        <v>0</v>
      </c>
      <c r="K113" s="6">
        <v>0</v>
      </c>
      <c r="L113" s="6">
        <f>J113+K113</f>
        <v>0</v>
      </c>
    </row>
    <row r="114" spans="1:12" s="10" customFormat="1" ht="168.75">
      <c r="A114" s="17" t="s">
        <v>90</v>
      </c>
      <c r="B114" s="19" t="s">
        <v>71</v>
      </c>
      <c r="C114" s="19" t="s">
        <v>54</v>
      </c>
      <c r="D114" s="19" t="s">
        <v>135</v>
      </c>
      <c r="E114" s="19" t="s">
        <v>187</v>
      </c>
      <c r="F114" s="19"/>
      <c r="G114" s="22">
        <f aca="true" t="shared" si="31" ref="G114:L114">G115</f>
        <v>3571794.61</v>
      </c>
      <c r="H114" s="22">
        <f t="shared" si="31"/>
        <v>70432.76</v>
      </c>
      <c r="I114" s="22">
        <f t="shared" si="31"/>
        <v>3642227.37</v>
      </c>
      <c r="J114" s="22">
        <f t="shared" si="31"/>
        <v>3571794.61</v>
      </c>
      <c r="K114" s="22">
        <f t="shared" si="31"/>
        <v>70432.76</v>
      </c>
      <c r="L114" s="22">
        <f t="shared" si="31"/>
        <v>3642227.37</v>
      </c>
    </row>
    <row r="115" spans="1:12" s="9" customFormat="1" ht="31.5">
      <c r="A115" s="27" t="s">
        <v>163</v>
      </c>
      <c r="B115" s="28" t="s">
        <v>71</v>
      </c>
      <c r="C115" s="28" t="s">
        <v>54</v>
      </c>
      <c r="D115" s="28" t="s">
        <v>53</v>
      </c>
      <c r="E115" s="28" t="s">
        <v>187</v>
      </c>
      <c r="F115" s="28"/>
      <c r="G115" s="29">
        <f aca="true" t="shared" si="32" ref="G115:L115">SUM(G116:G120)</f>
        <v>3571794.61</v>
      </c>
      <c r="H115" s="29">
        <f t="shared" si="32"/>
        <v>70432.76</v>
      </c>
      <c r="I115" s="29">
        <f t="shared" si="32"/>
        <v>3642227.37</v>
      </c>
      <c r="J115" s="29">
        <f t="shared" si="32"/>
        <v>3571794.61</v>
      </c>
      <c r="K115" s="29">
        <f t="shared" si="32"/>
        <v>70432.76</v>
      </c>
      <c r="L115" s="29">
        <f t="shared" si="32"/>
        <v>3642227.37</v>
      </c>
    </row>
    <row r="116" spans="1:12" ht="110.25" customHeight="1">
      <c r="A116" s="15" t="s">
        <v>220</v>
      </c>
      <c r="B116" s="3" t="s">
        <v>71</v>
      </c>
      <c r="C116" s="3" t="s">
        <v>54</v>
      </c>
      <c r="D116" s="3" t="s">
        <v>53</v>
      </c>
      <c r="E116" s="3" t="s">
        <v>183</v>
      </c>
      <c r="F116" s="3" t="s">
        <v>56</v>
      </c>
      <c r="G116" s="6">
        <v>2903672</v>
      </c>
      <c r="H116" s="6">
        <v>0</v>
      </c>
      <c r="I116" s="6">
        <f>G116+H116</f>
        <v>2903672</v>
      </c>
      <c r="J116" s="6">
        <v>2903672</v>
      </c>
      <c r="K116" s="6">
        <v>0</v>
      </c>
      <c r="L116" s="6">
        <f>J116+K116</f>
        <v>2903672</v>
      </c>
    </row>
    <row r="117" spans="1:12" ht="80.25" customHeight="1">
      <c r="A117" s="15" t="s">
        <v>19</v>
      </c>
      <c r="B117" s="3" t="s">
        <v>71</v>
      </c>
      <c r="C117" s="3" t="s">
        <v>54</v>
      </c>
      <c r="D117" s="3" t="s">
        <v>53</v>
      </c>
      <c r="E117" s="3" t="s">
        <v>183</v>
      </c>
      <c r="F117" s="3" t="s">
        <v>57</v>
      </c>
      <c r="G117" s="6">
        <v>325085</v>
      </c>
      <c r="H117" s="6">
        <v>0</v>
      </c>
      <c r="I117" s="6">
        <f>G117+H117</f>
        <v>325085</v>
      </c>
      <c r="J117" s="6">
        <v>325085</v>
      </c>
      <c r="K117" s="6">
        <v>0</v>
      </c>
      <c r="L117" s="6">
        <f>J117+K117</f>
        <v>325085</v>
      </c>
    </row>
    <row r="118" spans="1:12" ht="63" customHeight="1">
      <c r="A118" s="15" t="s">
        <v>46</v>
      </c>
      <c r="B118" s="3" t="s">
        <v>71</v>
      </c>
      <c r="C118" s="3" t="s">
        <v>54</v>
      </c>
      <c r="D118" s="3" t="s">
        <v>53</v>
      </c>
      <c r="E118" s="3" t="s">
        <v>183</v>
      </c>
      <c r="F118" s="3" t="s">
        <v>58</v>
      </c>
      <c r="G118" s="6">
        <v>1640</v>
      </c>
      <c r="H118" s="6">
        <v>0</v>
      </c>
      <c r="I118" s="6">
        <f>G118+H118</f>
        <v>1640</v>
      </c>
      <c r="J118" s="6">
        <v>1640</v>
      </c>
      <c r="K118" s="6">
        <v>0</v>
      </c>
      <c r="L118" s="6">
        <f>J118+K118</f>
        <v>1640</v>
      </c>
    </row>
    <row r="119" spans="1:12" ht="141.75">
      <c r="A119" s="15" t="s">
        <v>221</v>
      </c>
      <c r="B119" s="3" t="s">
        <v>71</v>
      </c>
      <c r="C119" s="3" t="s">
        <v>54</v>
      </c>
      <c r="D119" s="3" t="s">
        <v>53</v>
      </c>
      <c r="E119" s="3" t="s">
        <v>121</v>
      </c>
      <c r="F119" s="3" t="s">
        <v>56</v>
      </c>
      <c r="G119" s="6">
        <v>341397.61</v>
      </c>
      <c r="H119" s="6">
        <f>20873.39+6304.37</f>
        <v>27177.76</v>
      </c>
      <c r="I119" s="6">
        <f>G119+H119</f>
        <v>368575.37</v>
      </c>
      <c r="J119" s="6">
        <v>341397.61</v>
      </c>
      <c r="K119" s="6">
        <v>27177.76</v>
      </c>
      <c r="L119" s="6">
        <f>J119+K119</f>
        <v>368575.37</v>
      </c>
    </row>
    <row r="120" spans="1:12" ht="94.5">
      <c r="A120" s="15" t="s">
        <v>235</v>
      </c>
      <c r="B120" s="3" t="s">
        <v>71</v>
      </c>
      <c r="C120" s="3" t="s">
        <v>54</v>
      </c>
      <c r="D120" s="3" t="s">
        <v>53</v>
      </c>
      <c r="E120" s="3" t="s">
        <v>121</v>
      </c>
      <c r="F120" s="3" t="s">
        <v>57</v>
      </c>
      <c r="G120" s="6">
        <v>0</v>
      </c>
      <c r="H120" s="6">
        <v>43255</v>
      </c>
      <c r="I120" s="6">
        <f>G120+H120</f>
        <v>43255</v>
      </c>
      <c r="J120" s="6">
        <v>0</v>
      </c>
      <c r="K120" s="6">
        <v>43255</v>
      </c>
      <c r="L120" s="6">
        <f>J120+K120</f>
        <v>43255</v>
      </c>
    </row>
    <row r="121" spans="1:12" s="10" customFormat="1" ht="93.75">
      <c r="A121" s="17" t="s">
        <v>164</v>
      </c>
      <c r="B121" s="19" t="s">
        <v>68</v>
      </c>
      <c r="C121" s="19" t="s">
        <v>54</v>
      </c>
      <c r="D121" s="19" t="s">
        <v>135</v>
      </c>
      <c r="E121" s="19" t="s">
        <v>187</v>
      </c>
      <c r="F121" s="19"/>
      <c r="G121" s="22">
        <f aca="true" t="shared" si="33" ref="G121:L121">G122</f>
        <v>573890.6900000001</v>
      </c>
      <c r="H121" s="22">
        <f t="shared" si="33"/>
        <v>0</v>
      </c>
      <c r="I121" s="22">
        <f t="shared" si="33"/>
        <v>573890.6900000001</v>
      </c>
      <c r="J121" s="22">
        <f t="shared" si="33"/>
        <v>573890.6900000001</v>
      </c>
      <c r="K121" s="22">
        <f t="shared" si="33"/>
        <v>0</v>
      </c>
      <c r="L121" s="22">
        <f t="shared" si="33"/>
        <v>573890.6900000001</v>
      </c>
    </row>
    <row r="122" spans="1:12" s="9" customFormat="1" ht="31.5">
      <c r="A122" s="27" t="s">
        <v>165</v>
      </c>
      <c r="B122" s="28" t="s">
        <v>68</v>
      </c>
      <c r="C122" s="28" t="s">
        <v>54</v>
      </c>
      <c r="D122" s="28" t="s">
        <v>53</v>
      </c>
      <c r="E122" s="28" t="s">
        <v>187</v>
      </c>
      <c r="F122" s="28"/>
      <c r="G122" s="29">
        <f aca="true" t="shared" si="34" ref="G122:L122">SUM(G123:G126)</f>
        <v>573890.6900000001</v>
      </c>
      <c r="H122" s="29">
        <f t="shared" si="34"/>
        <v>0</v>
      </c>
      <c r="I122" s="29">
        <f t="shared" si="34"/>
        <v>573890.6900000001</v>
      </c>
      <c r="J122" s="29">
        <f t="shared" si="34"/>
        <v>573890.6900000001</v>
      </c>
      <c r="K122" s="29">
        <f t="shared" si="34"/>
        <v>0</v>
      </c>
      <c r="L122" s="29">
        <f t="shared" si="34"/>
        <v>573890.6900000001</v>
      </c>
    </row>
    <row r="123" spans="1:12" ht="63">
      <c r="A123" s="15" t="s">
        <v>20</v>
      </c>
      <c r="B123" s="3" t="s">
        <v>68</v>
      </c>
      <c r="C123" s="3" t="s">
        <v>54</v>
      </c>
      <c r="D123" s="3" t="s">
        <v>53</v>
      </c>
      <c r="E123" s="3" t="s">
        <v>122</v>
      </c>
      <c r="F123" s="3" t="s">
        <v>57</v>
      </c>
      <c r="G123" s="6">
        <v>6098.4</v>
      </c>
      <c r="H123" s="6">
        <v>0</v>
      </c>
      <c r="I123" s="6">
        <f>G123+H123</f>
        <v>6098.4</v>
      </c>
      <c r="J123" s="6">
        <v>6098.4</v>
      </c>
      <c r="K123" s="6">
        <v>0</v>
      </c>
      <c r="L123" s="6">
        <f>J123+K123</f>
        <v>6098.4</v>
      </c>
    </row>
    <row r="124" spans="1:12" ht="110.25">
      <c r="A124" s="15" t="s">
        <v>225</v>
      </c>
      <c r="B124" s="3" t="s">
        <v>68</v>
      </c>
      <c r="C124" s="3" t="s">
        <v>54</v>
      </c>
      <c r="D124" s="3" t="s">
        <v>53</v>
      </c>
      <c r="E124" s="3" t="s">
        <v>123</v>
      </c>
      <c r="F124" s="3" t="s">
        <v>56</v>
      </c>
      <c r="G124" s="6">
        <f>535885.55-18885.55</f>
        <v>517000.00000000006</v>
      </c>
      <c r="H124" s="6">
        <v>0</v>
      </c>
      <c r="I124" s="6">
        <f>G124+H124</f>
        <v>517000.00000000006</v>
      </c>
      <c r="J124" s="6">
        <f>535885.55-18885.55</f>
        <v>517000.00000000006</v>
      </c>
      <c r="K124" s="6">
        <v>0</v>
      </c>
      <c r="L124" s="6">
        <f>J124+K124</f>
        <v>517000.00000000006</v>
      </c>
    </row>
    <row r="125" spans="1:12" ht="63">
      <c r="A125" s="15" t="s">
        <v>21</v>
      </c>
      <c r="B125" s="3" t="s">
        <v>68</v>
      </c>
      <c r="C125" s="3" t="s">
        <v>54</v>
      </c>
      <c r="D125" s="3" t="s">
        <v>53</v>
      </c>
      <c r="E125" s="3" t="s">
        <v>123</v>
      </c>
      <c r="F125" s="3" t="s">
        <v>57</v>
      </c>
      <c r="G125" s="6">
        <v>18885.55</v>
      </c>
      <c r="H125" s="6">
        <v>0</v>
      </c>
      <c r="I125" s="6">
        <f>G125+H125</f>
        <v>18885.55</v>
      </c>
      <c r="J125" s="6">
        <v>18885.55</v>
      </c>
      <c r="K125" s="6">
        <v>0</v>
      </c>
      <c r="L125" s="6">
        <f>J125+K125</f>
        <v>18885.55</v>
      </c>
    </row>
    <row r="126" spans="1:12" ht="80.25" customHeight="1">
      <c r="A126" s="15" t="s">
        <v>22</v>
      </c>
      <c r="B126" s="3" t="s">
        <v>68</v>
      </c>
      <c r="C126" s="3" t="s">
        <v>54</v>
      </c>
      <c r="D126" s="3" t="s">
        <v>53</v>
      </c>
      <c r="E126" s="3" t="s">
        <v>124</v>
      </c>
      <c r="F126" s="3" t="s">
        <v>57</v>
      </c>
      <c r="G126" s="6">
        <v>31906.74</v>
      </c>
      <c r="H126" s="6">
        <v>0</v>
      </c>
      <c r="I126" s="6">
        <f>G126+H126</f>
        <v>31906.74</v>
      </c>
      <c r="J126" s="6">
        <v>31906.74</v>
      </c>
      <c r="K126" s="6">
        <v>0</v>
      </c>
      <c r="L126" s="6">
        <f>J126+K126</f>
        <v>31906.74</v>
      </c>
    </row>
    <row r="127" spans="1:12" s="10" customFormat="1" ht="75" customHeight="1">
      <c r="A127" s="17" t="s">
        <v>166</v>
      </c>
      <c r="B127" s="19" t="s">
        <v>97</v>
      </c>
      <c r="C127" s="19" t="s">
        <v>54</v>
      </c>
      <c r="D127" s="19" t="s">
        <v>135</v>
      </c>
      <c r="E127" s="19" t="s">
        <v>187</v>
      </c>
      <c r="F127" s="19"/>
      <c r="G127" s="22">
        <f aca="true" t="shared" si="35" ref="G127:L127">G128+G131</f>
        <v>13152410</v>
      </c>
      <c r="H127" s="22">
        <f t="shared" si="35"/>
        <v>0</v>
      </c>
      <c r="I127" s="22">
        <f t="shared" si="35"/>
        <v>13152410</v>
      </c>
      <c r="J127" s="22">
        <f t="shared" si="35"/>
        <v>14659240</v>
      </c>
      <c r="K127" s="22">
        <f t="shared" si="35"/>
        <v>0</v>
      </c>
      <c r="L127" s="22">
        <f t="shared" si="35"/>
        <v>14659240</v>
      </c>
    </row>
    <row r="128" spans="1:12" s="9" customFormat="1" ht="31.5">
      <c r="A128" s="27" t="s">
        <v>167</v>
      </c>
      <c r="B128" s="28" t="s">
        <v>97</v>
      </c>
      <c r="C128" s="28" t="s">
        <v>54</v>
      </c>
      <c r="D128" s="28" t="s">
        <v>61</v>
      </c>
      <c r="E128" s="28" t="s">
        <v>187</v>
      </c>
      <c r="F128" s="28"/>
      <c r="G128" s="29">
        <f aca="true" t="shared" si="36" ref="G128:L128">SUM(G129:G130)</f>
        <v>12152410</v>
      </c>
      <c r="H128" s="29">
        <f t="shared" si="36"/>
        <v>0</v>
      </c>
      <c r="I128" s="29">
        <f t="shared" si="36"/>
        <v>12152410</v>
      </c>
      <c r="J128" s="29">
        <f t="shared" si="36"/>
        <v>13012240</v>
      </c>
      <c r="K128" s="29">
        <f t="shared" si="36"/>
        <v>0</v>
      </c>
      <c r="L128" s="29">
        <f t="shared" si="36"/>
        <v>13012240</v>
      </c>
    </row>
    <row r="129" spans="1:12" ht="47.25">
      <c r="A129" s="15" t="s">
        <v>228</v>
      </c>
      <c r="B129" s="3" t="s">
        <v>97</v>
      </c>
      <c r="C129" s="3" t="s">
        <v>54</v>
      </c>
      <c r="D129" s="3" t="s">
        <v>61</v>
      </c>
      <c r="E129" s="3" t="s">
        <v>227</v>
      </c>
      <c r="F129" s="3" t="s">
        <v>57</v>
      </c>
      <c r="G129" s="6">
        <v>2430482</v>
      </c>
      <c r="H129" s="6">
        <v>0</v>
      </c>
      <c r="I129" s="6">
        <f>G129+H129</f>
        <v>2430482</v>
      </c>
      <c r="J129" s="6">
        <v>2602448</v>
      </c>
      <c r="K129" s="6">
        <v>0</v>
      </c>
      <c r="L129" s="6">
        <f>J129+K129</f>
        <v>2602448</v>
      </c>
    </row>
    <row r="130" spans="1:12" ht="220.5">
      <c r="A130" s="15" t="s">
        <v>28</v>
      </c>
      <c r="B130" s="3" t="s">
        <v>97</v>
      </c>
      <c r="C130" s="3" t="s">
        <v>54</v>
      </c>
      <c r="D130" s="3" t="s">
        <v>61</v>
      </c>
      <c r="E130" s="3" t="s">
        <v>125</v>
      </c>
      <c r="F130" s="3" t="s">
        <v>126</v>
      </c>
      <c r="G130" s="6">
        <v>9721928</v>
      </c>
      <c r="H130" s="6">
        <v>0</v>
      </c>
      <c r="I130" s="6">
        <f>G130+H130</f>
        <v>9721928</v>
      </c>
      <c r="J130" s="6">
        <v>10409792</v>
      </c>
      <c r="K130" s="6">
        <v>0</v>
      </c>
      <c r="L130" s="6">
        <f>J130+K130</f>
        <v>10409792</v>
      </c>
    </row>
    <row r="131" spans="1:12" s="9" customFormat="1" ht="63">
      <c r="A131" s="27" t="s">
        <v>168</v>
      </c>
      <c r="B131" s="28" t="s">
        <v>97</v>
      </c>
      <c r="C131" s="28" t="s">
        <v>54</v>
      </c>
      <c r="D131" s="28" t="s">
        <v>67</v>
      </c>
      <c r="E131" s="28" t="s">
        <v>187</v>
      </c>
      <c r="F131" s="28"/>
      <c r="G131" s="29">
        <f aca="true" t="shared" si="37" ref="G131:L131">SUM(G132:G132)</f>
        <v>1000000</v>
      </c>
      <c r="H131" s="29">
        <f t="shared" si="37"/>
        <v>0</v>
      </c>
      <c r="I131" s="29">
        <f t="shared" si="37"/>
        <v>1000000</v>
      </c>
      <c r="J131" s="29">
        <f t="shared" si="37"/>
        <v>1647000</v>
      </c>
      <c r="K131" s="29">
        <f t="shared" si="37"/>
        <v>0</v>
      </c>
      <c r="L131" s="29">
        <f t="shared" si="37"/>
        <v>1647000</v>
      </c>
    </row>
    <row r="132" spans="1:12" ht="78.75">
      <c r="A132" s="15" t="s">
        <v>47</v>
      </c>
      <c r="B132" s="3" t="s">
        <v>97</v>
      </c>
      <c r="C132" s="3" t="s">
        <v>54</v>
      </c>
      <c r="D132" s="3" t="s">
        <v>67</v>
      </c>
      <c r="E132" s="3" t="s">
        <v>127</v>
      </c>
      <c r="F132" s="3" t="s">
        <v>58</v>
      </c>
      <c r="G132" s="6">
        <v>1000000</v>
      </c>
      <c r="H132" s="6">
        <v>0</v>
      </c>
      <c r="I132" s="6">
        <f>G132+H132</f>
        <v>1000000</v>
      </c>
      <c r="J132" s="6">
        <v>1647000</v>
      </c>
      <c r="K132" s="6">
        <v>0</v>
      </c>
      <c r="L132" s="6">
        <f>J132+K132</f>
        <v>1647000</v>
      </c>
    </row>
    <row r="133" spans="1:12" s="10" customFormat="1" ht="40.5" customHeight="1">
      <c r="A133" s="17" t="s">
        <v>169</v>
      </c>
      <c r="B133" s="19" t="s">
        <v>102</v>
      </c>
      <c r="C133" s="19" t="s">
        <v>54</v>
      </c>
      <c r="D133" s="19" t="s">
        <v>135</v>
      </c>
      <c r="E133" s="19" t="s">
        <v>187</v>
      </c>
      <c r="F133" s="19"/>
      <c r="G133" s="22">
        <f aca="true" t="shared" si="38" ref="G133:L133">G134</f>
        <v>1200774.27</v>
      </c>
      <c r="H133" s="22">
        <f t="shared" si="38"/>
        <v>0</v>
      </c>
      <c r="I133" s="22">
        <f t="shared" si="38"/>
        <v>1200774.27</v>
      </c>
      <c r="J133" s="22">
        <f t="shared" si="38"/>
        <v>501844.17000000004</v>
      </c>
      <c r="K133" s="22">
        <f t="shared" si="38"/>
        <v>0</v>
      </c>
      <c r="L133" s="22">
        <f t="shared" si="38"/>
        <v>501844.17000000004</v>
      </c>
    </row>
    <row r="134" spans="1:12" s="9" customFormat="1" ht="31.5">
      <c r="A134" s="27" t="s">
        <v>170</v>
      </c>
      <c r="B134" s="28" t="s">
        <v>102</v>
      </c>
      <c r="C134" s="28" t="s">
        <v>54</v>
      </c>
      <c r="D134" s="28" t="s">
        <v>61</v>
      </c>
      <c r="E134" s="28" t="s">
        <v>187</v>
      </c>
      <c r="F134" s="28"/>
      <c r="G134" s="29">
        <f aca="true" t="shared" si="39" ref="G134:L134">SUM(G135:G136)</f>
        <v>1200774.27</v>
      </c>
      <c r="H134" s="29">
        <f t="shared" si="39"/>
        <v>0</v>
      </c>
      <c r="I134" s="29">
        <f t="shared" si="39"/>
        <v>1200774.27</v>
      </c>
      <c r="J134" s="29">
        <f t="shared" si="39"/>
        <v>501844.17000000004</v>
      </c>
      <c r="K134" s="29">
        <f t="shared" si="39"/>
        <v>0</v>
      </c>
      <c r="L134" s="29">
        <f t="shared" si="39"/>
        <v>501844.17000000004</v>
      </c>
    </row>
    <row r="135" spans="1:12" ht="63">
      <c r="A135" s="15" t="s">
        <v>23</v>
      </c>
      <c r="B135" s="3" t="s">
        <v>102</v>
      </c>
      <c r="C135" s="3" t="s">
        <v>54</v>
      </c>
      <c r="D135" s="3" t="s">
        <v>61</v>
      </c>
      <c r="E135" s="3" t="s">
        <v>129</v>
      </c>
      <c r="F135" s="3" t="s">
        <v>57</v>
      </c>
      <c r="G135" s="6">
        <v>600774.27</v>
      </c>
      <c r="H135" s="6">
        <v>0</v>
      </c>
      <c r="I135" s="6">
        <f>G135+H135</f>
        <v>600774.27</v>
      </c>
      <c r="J135" s="6">
        <v>201844.17</v>
      </c>
      <c r="K135" s="6">
        <v>0</v>
      </c>
      <c r="L135" s="6">
        <f>J135+K135</f>
        <v>201844.17</v>
      </c>
    </row>
    <row r="136" spans="1:12" ht="63.75" customHeight="1">
      <c r="A136" s="15" t="s">
        <v>24</v>
      </c>
      <c r="B136" s="3" t="s">
        <v>102</v>
      </c>
      <c r="C136" s="3" t="s">
        <v>54</v>
      </c>
      <c r="D136" s="3" t="s">
        <v>61</v>
      </c>
      <c r="E136" s="3" t="s">
        <v>130</v>
      </c>
      <c r="F136" s="3" t="s">
        <v>57</v>
      </c>
      <c r="G136" s="6">
        <v>600000</v>
      </c>
      <c r="H136" s="6">
        <v>0</v>
      </c>
      <c r="I136" s="6">
        <f>G136+H136</f>
        <v>600000</v>
      </c>
      <c r="J136" s="6">
        <v>300000</v>
      </c>
      <c r="K136" s="6">
        <v>0</v>
      </c>
      <c r="L136" s="6">
        <f>J136+K136</f>
        <v>300000</v>
      </c>
    </row>
    <row r="137" spans="1:12" s="10" customFormat="1" ht="111" customHeight="1">
      <c r="A137" s="17" t="s">
        <v>184</v>
      </c>
      <c r="B137" s="19" t="s">
        <v>131</v>
      </c>
      <c r="C137" s="19" t="s">
        <v>54</v>
      </c>
      <c r="D137" s="19" t="s">
        <v>135</v>
      </c>
      <c r="E137" s="19" t="s">
        <v>187</v>
      </c>
      <c r="F137" s="19"/>
      <c r="G137" s="22">
        <f aca="true" t="shared" si="40" ref="G137:L137">G138</f>
        <v>828993</v>
      </c>
      <c r="H137" s="22">
        <f t="shared" si="40"/>
        <v>0</v>
      </c>
      <c r="I137" s="22">
        <f t="shared" si="40"/>
        <v>828993</v>
      </c>
      <c r="J137" s="22">
        <f t="shared" si="40"/>
        <v>828993</v>
      </c>
      <c r="K137" s="22">
        <f t="shared" si="40"/>
        <v>0</v>
      </c>
      <c r="L137" s="22">
        <f t="shared" si="40"/>
        <v>828993</v>
      </c>
    </row>
    <row r="138" spans="1:12" s="9" customFormat="1" ht="63.75" customHeight="1">
      <c r="A138" s="27" t="s">
        <v>185</v>
      </c>
      <c r="B138" s="28" t="s">
        <v>131</v>
      </c>
      <c r="C138" s="28" t="s">
        <v>54</v>
      </c>
      <c r="D138" s="28" t="s">
        <v>53</v>
      </c>
      <c r="E138" s="28" t="s">
        <v>187</v>
      </c>
      <c r="F138" s="28"/>
      <c r="G138" s="29">
        <f aca="true" t="shared" si="41" ref="G138:L138">SUM(G139:G140)</f>
        <v>828993</v>
      </c>
      <c r="H138" s="29">
        <f t="shared" si="41"/>
        <v>0</v>
      </c>
      <c r="I138" s="29">
        <f t="shared" si="41"/>
        <v>828993</v>
      </c>
      <c r="J138" s="29">
        <f t="shared" si="41"/>
        <v>828993</v>
      </c>
      <c r="K138" s="29">
        <f t="shared" si="41"/>
        <v>0</v>
      </c>
      <c r="L138" s="29">
        <f t="shared" si="41"/>
        <v>828993</v>
      </c>
    </row>
    <row r="139" spans="1:12" ht="79.5" customHeight="1">
      <c r="A139" s="15" t="s">
        <v>27</v>
      </c>
      <c r="B139" s="3" t="s">
        <v>131</v>
      </c>
      <c r="C139" s="3" t="s">
        <v>54</v>
      </c>
      <c r="D139" s="3" t="s">
        <v>53</v>
      </c>
      <c r="E139" s="3" t="s">
        <v>236</v>
      </c>
      <c r="F139" s="3" t="s">
        <v>128</v>
      </c>
      <c r="G139" s="6">
        <v>0</v>
      </c>
      <c r="H139" s="6">
        <v>828993</v>
      </c>
      <c r="I139" s="6">
        <f>G139+H139</f>
        <v>828993</v>
      </c>
      <c r="J139" s="6">
        <v>0</v>
      </c>
      <c r="K139" s="6">
        <v>828993</v>
      </c>
      <c r="L139" s="6">
        <f>J139+K139</f>
        <v>828993</v>
      </c>
    </row>
    <row r="140" spans="1:12" ht="79.5" customHeight="1">
      <c r="A140" s="15" t="s">
        <v>27</v>
      </c>
      <c r="B140" s="3" t="s">
        <v>131</v>
      </c>
      <c r="C140" s="3" t="s">
        <v>54</v>
      </c>
      <c r="D140" s="3" t="s">
        <v>53</v>
      </c>
      <c r="E140" s="3" t="s">
        <v>132</v>
      </c>
      <c r="F140" s="3" t="s">
        <v>128</v>
      </c>
      <c r="G140" s="6">
        <v>828993</v>
      </c>
      <c r="H140" s="6">
        <v>-828993</v>
      </c>
      <c r="I140" s="6">
        <f>G140+H140</f>
        <v>0</v>
      </c>
      <c r="J140" s="6">
        <v>828993</v>
      </c>
      <c r="K140" s="6">
        <v>-828993</v>
      </c>
      <c r="L140" s="6">
        <f>J140+K140</f>
        <v>0</v>
      </c>
    </row>
    <row r="141" spans="1:12" s="10" customFormat="1" ht="27.75" customHeight="1">
      <c r="A141" s="17" t="s">
        <v>186</v>
      </c>
      <c r="B141" s="19" t="s">
        <v>133</v>
      </c>
      <c r="C141" s="19" t="s">
        <v>134</v>
      </c>
      <c r="D141" s="19" t="s">
        <v>135</v>
      </c>
      <c r="E141" s="19" t="s">
        <v>187</v>
      </c>
      <c r="F141" s="19"/>
      <c r="G141" s="22">
        <f aca="true" t="shared" si="42" ref="G141:L141">SUM(G142:G144)</f>
        <v>1102001.65</v>
      </c>
      <c r="H141" s="22">
        <f t="shared" si="42"/>
        <v>116868.9</v>
      </c>
      <c r="I141" s="22">
        <f t="shared" si="42"/>
        <v>1218870.55</v>
      </c>
      <c r="J141" s="22">
        <f t="shared" si="42"/>
        <v>1229958.77</v>
      </c>
      <c r="K141" s="22">
        <f t="shared" si="42"/>
        <v>55015.469999999994</v>
      </c>
      <c r="L141" s="22">
        <f t="shared" si="42"/>
        <v>1284974.24</v>
      </c>
    </row>
    <row r="142" spans="1:12" ht="94.5">
      <c r="A142" s="15" t="s">
        <v>226</v>
      </c>
      <c r="B142" s="3" t="s">
        <v>133</v>
      </c>
      <c r="C142" s="3" t="s">
        <v>134</v>
      </c>
      <c r="D142" s="3" t="s">
        <v>135</v>
      </c>
      <c r="E142" s="3" t="s">
        <v>136</v>
      </c>
      <c r="F142" s="3" t="s">
        <v>56</v>
      </c>
      <c r="G142" s="6">
        <v>562082</v>
      </c>
      <c r="H142" s="6">
        <v>0</v>
      </c>
      <c r="I142" s="6">
        <f>G142+H142</f>
        <v>562082</v>
      </c>
      <c r="J142" s="6">
        <v>562082</v>
      </c>
      <c r="K142" s="6">
        <v>0</v>
      </c>
      <c r="L142" s="6">
        <f>J142+K142</f>
        <v>562082</v>
      </c>
    </row>
    <row r="143" spans="1:12" ht="78.75">
      <c r="A143" s="15" t="s">
        <v>25</v>
      </c>
      <c r="B143" s="3" t="s">
        <v>133</v>
      </c>
      <c r="C143" s="3" t="s">
        <v>134</v>
      </c>
      <c r="D143" s="3" t="s">
        <v>135</v>
      </c>
      <c r="E143" s="3" t="s">
        <v>137</v>
      </c>
      <c r="F143" s="3" t="s">
        <v>57</v>
      </c>
      <c r="G143" s="6">
        <v>650.97</v>
      </c>
      <c r="H143" s="6">
        <v>-193.8</v>
      </c>
      <c r="I143" s="6">
        <f>G143+H143</f>
        <v>457.17</v>
      </c>
      <c r="J143" s="6">
        <v>0</v>
      </c>
      <c r="K143" s="6">
        <v>404.63</v>
      </c>
      <c r="L143" s="6">
        <f>J143+K143</f>
        <v>404.63</v>
      </c>
    </row>
    <row r="144" spans="1:12" ht="48.75" customHeight="1">
      <c r="A144" s="35" t="s">
        <v>176</v>
      </c>
      <c r="B144" s="3" t="s">
        <v>133</v>
      </c>
      <c r="C144" s="3" t="s">
        <v>134</v>
      </c>
      <c r="D144" s="3" t="s">
        <v>135</v>
      </c>
      <c r="E144" s="3" t="s">
        <v>175</v>
      </c>
      <c r="F144" s="3" t="s">
        <v>57</v>
      </c>
      <c r="G144" s="6">
        <v>539268.68</v>
      </c>
      <c r="H144" s="6">
        <v>117062.7</v>
      </c>
      <c r="I144" s="6">
        <f>G144+H144</f>
        <v>656331.38</v>
      </c>
      <c r="J144" s="6">
        <v>667876.77</v>
      </c>
      <c r="K144" s="6">
        <v>54610.84</v>
      </c>
      <c r="L144" s="6">
        <f>J144+K144</f>
        <v>722487.61</v>
      </c>
    </row>
    <row r="145" spans="1:12" s="13" customFormat="1" ht="18" customHeight="1">
      <c r="A145" s="18" t="s">
        <v>49</v>
      </c>
      <c r="B145" s="12"/>
      <c r="C145" s="12"/>
      <c r="D145" s="12"/>
      <c r="E145" s="12"/>
      <c r="F145" s="12"/>
      <c r="G145" s="21">
        <f aca="true" t="shared" si="43" ref="G145:L145">G7+G47+G78+G86+G114+G121+G127+G133+G137+G141</f>
        <v>202988907.46</v>
      </c>
      <c r="H145" s="21">
        <f t="shared" si="43"/>
        <v>658349.24</v>
      </c>
      <c r="I145" s="21">
        <f t="shared" si="43"/>
        <v>203647256.70000002</v>
      </c>
      <c r="J145" s="21">
        <f t="shared" si="43"/>
        <v>195796293.64</v>
      </c>
      <c r="K145" s="21">
        <f t="shared" si="43"/>
        <v>8726078.840000002</v>
      </c>
      <c r="L145" s="21">
        <f t="shared" si="43"/>
        <v>204522372.48</v>
      </c>
    </row>
    <row r="147" spans="7:10" ht="0.75" customHeight="1">
      <c r="G147" s="7">
        <v>168212366.73</v>
      </c>
      <c r="J147" s="7">
        <v>157190836.99</v>
      </c>
    </row>
    <row r="148" spans="7:10" ht="12.75" hidden="1">
      <c r="G148" s="7">
        <f>G145-G147</f>
        <v>34776540.73000002</v>
      </c>
      <c r="H148" s="7">
        <f>H145-H147</f>
        <v>658349.24</v>
      </c>
      <c r="I148" s="7">
        <f>I145-I147</f>
        <v>203647256.70000002</v>
      </c>
      <c r="J148" s="7">
        <f>J145-J147</f>
        <v>38605456.649999976</v>
      </c>
    </row>
    <row r="150" spans="7:10" ht="12.75" hidden="1">
      <c r="G150" s="7">
        <v>205808907.46</v>
      </c>
      <c r="J150" s="7">
        <v>201596293.64</v>
      </c>
    </row>
    <row r="151" ht="12.75" hidden="1"/>
    <row r="152" spans="7:10" ht="12.75" hidden="1">
      <c r="G152" s="7">
        <f>G145-G150</f>
        <v>-2820000</v>
      </c>
      <c r="H152" s="7">
        <f>H145-H150</f>
        <v>658349.24</v>
      </c>
      <c r="I152" s="7">
        <f>I145-I150</f>
        <v>203647256.70000002</v>
      </c>
      <c r="J152" s="7">
        <f>J145-J150</f>
        <v>-5800000</v>
      </c>
    </row>
  </sheetData>
  <sheetProtection/>
  <autoFilter ref="A6:IS145"/>
  <mergeCells count="11">
    <mergeCell ref="A5:A6"/>
    <mergeCell ref="G5:G6"/>
    <mergeCell ref="F5:F6"/>
    <mergeCell ref="H5:H6"/>
    <mergeCell ref="I5:I6"/>
    <mergeCell ref="K5:K6"/>
    <mergeCell ref="L5:L6"/>
    <mergeCell ref="B1:L1"/>
    <mergeCell ref="A3:L3"/>
    <mergeCell ref="J5:J6"/>
    <mergeCell ref="B5:E5"/>
  </mergeCells>
  <printOptions/>
  <pageMargins left="0.3937007874015748" right="0.1968503937007874" top="0.7480314960629921" bottom="0.5511811023622047" header="0.31496062992125984" footer="0.31496062992125984"/>
  <pageSetup fitToHeight="18"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2023-02-27T11:34:28Z</cp:lastPrinted>
  <dcterms:created xsi:type="dcterms:W3CDTF">2013-10-30T08:55:37Z</dcterms:created>
  <dcterms:modified xsi:type="dcterms:W3CDTF">2023-02-27T11:34:29Z</dcterms:modified>
  <cp:category/>
  <cp:version/>
  <cp:contentType/>
  <cp:contentStatus/>
</cp:coreProperties>
</file>